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ml.chartshapes+xml"/>
  <Override PartName="/xl/charts/chart2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drawings/drawing19.xml" ContentType="application/vnd.openxmlformats-officedocument.drawingml.chartshapes+xml"/>
  <Override PartName="/xl/charts/chart2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0.xml" ContentType="application/vnd.openxmlformats-officedocument.drawingml.chartshapes+xml"/>
  <Override PartName="/xl/charts/chart25.xml" ContentType="application/vnd.openxmlformats-officedocument.drawingml.chart+xml"/>
  <Override PartName="/xl/drawings/drawing21.xml" ContentType="application/vnd.openxmlformats-officedocument.drawingml.chartshapes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8.xml" ContentType="application/vnd.openxmlformats-officedocument.drawingml.chart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drawings/drawing4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vistukhina_ma\Desktop\ФЭМ_свод_4\"/>
    </mc:Choice>
  </mc:AlternateContent>
  <xr:revisionPtr revIDLastSave="0" documentId="13_ncr:1_{2AECEFD3-EE28-45CC-9DA7-83A405766B24}" xr6:coauthVersionLast="36" xr6:coauthVersionMax="47" xr10:uidLastSave="{00000000-0000-0000-0000-000000000000}"/>
  <bookViews>
    <workbookView xWindow="-90" yWindow="-90" windowWidth="23235" windowHeight="12555" tabRatio="782" xr2:uid="{F8946665-D53B-4A60-A5FF-168FF815D072}"/>
  </bookViews>
  <sheets>
    <sheet name="Паспорт_ФМ_резидент" sheetId="1" r:id="rId1"/>
    <sheet name="Оглавление" sheetId="2" r:id="rId2"/>
    <sheet name="Оценка_инвестора" sheetId="59" r:id="rId3"/>
    <sheet name="Макро" sheetId="13" r:id="rId4"/>
    <sheet name="WACC" sheetId="51" r:id="rId5"/>
    <sheet name="Исходные" sheetId="7" r:id="rId6"/>
    <sheet name="КПЭ" sheetId="12" r:id="rId7"/>
    <sheet name="ИтогТаблицы" sheetId="41" r:id="rId8"/>
    <sheet name="Дашборд_ИтогТабл" sheetId="55" r:id="rId9"/>
    <sheet name="Дашборд_Основной" sheetId="56" r:id="rId10"/>
    <sheet name="БДР" sheetId="11" r:id="rId11"/>
    <sheet name="БДДС" sheetId="10" r:id="rId12"/>
    <sheet name="Баланс" sheetId="9" r:id="rId13"/>
    <sheet name="НалогСвод" sheetId="42" r:id="rId14"/>
    <sheet name="Чувствительность" sheetId="47" r:id="rId15"/>
    <sheet name="Дашборд_налоги" sheetId="52" r:id="rId16"/>
    <sheet name="Инвестиции" sheetId="14" r:id="rId17"/>
    <sheet name="Финансы" sheetId="17" r:id="rId18"/>
    <sheet name="Выручка" sheetId="16" r:id="rId19"/>
    <sheet name="Себестоимость" sheetId="18" r:id="rId20"/>
    <sheet name="Персонал" sheetId="15" r:id="rId21"/>
    <sheet name="Ресурсы" sheetId="19" r:id="rId22"/>
    <sheet name="ОбщПрРасходы" sheetId="21" r:id="rId23"/>
    <sheet name="АдмРасходы" sheetId="20" r:id="rId24"/>
    <sheet name="ПрочДоходы" sheetId="23" r:id="rId25"/>
    <sheet name="ПрочРасходы" sheetId="24" r:id="rId26"/>
    <sheet name="НДС" sheetId="22" r:id="rId27"/>
    <sheet name="НалПрибыль" sheetId="25" r:id="rId28"/>
    <sheet name="НалЗемля" sheetId="36" r:id="rId29"/>
    <sheet name="НалИмущество" sheetId="26" r:id="rId30"/>
    <sheet name="УСН" sheetId="48" r:id="rId31"/>
    <sheet name="КПЭбезЛьгот" sheetId="32" r:id="rId32"/>
    <sheet name="БДРбезЛьгот" sheetId="28" r:id="rId33"/>
    <sheet name="БДДСбезЛьгот" sheetId="29" r:id="rId34"/>
    <sheet name="БалансбезЛьгот" sheetId="31" r:id="rId35"/>
    <sheet name="Контроль" sheetId="6" r:id="rId36"/>
    <sheet name="Легенда" sheetId="4" r:id="rId37"/>
    <sheet name="Шаблон" sheetId="5" r:id="rId38"/>
    <sheet name="Структура" sheetId="27" r:id="rId39"/>
    <sheet name="Описание" sheetId="37" r:id="rId40"/>
    <sheet name="Дашборд_2" sheetId="33" r:id="rId41"/>
  </sheets>
  <definedNames>
    <definedName name="Валовая_прибыль" localSheetId="32">БДРбезЛьгот!$F$12:$O$12</definedName>
    <definedName name="Валовая_прибыль">БДР!$F$12:$O$12</definedName>
    <definedName name="_xlnm.Print_Titles" localSheetId="4">WACC!#REF!</definedName>
    <definedName name="_xlnm.Print_Titles" localSheetId="23">АдмРасходы!$3:$3</definedName>
    <definedName name="_xlnm.Print_Titles" localSheetId="12">Баланс!$3:$3</definedName>
    <definedName name="_xlnm.Print_Titles" localSheetId="34">БалансбезЛьгот!$3:$3</definedName>
    <definedName name="_xlnm.Print_Titles" localSheetId="11">БДДС!$3:$3</definedName>
    <definedName name="_xlnm.Print_Titles" localSheetId="33">БДДСбезЛьгот!$3:$3</definedName>
    <definedName name="_xlnm.Print_Titles" localSheetId="10">БДР!$3:$3</definedName>
    <definedName name="_xlnm.Print_Titles" localSheetId="32">БДРбезЛьгот!$3:$3</definedName>
    <definedName name="_xlnm.Print_Titles" localSheetId="18">Выручка!$3:$3</definedName>
    <definedName name="_xlnm.Print_Titles" localSheetId="16">Инвестиции!$3:$3</definedName>
    <definedName name="_xlnm.Print_Titles" localSheetId="5">Исходные!$3:$3</definedName>
    <definedName name="_xlnm.Print_Titles" localSheetId="35">Контроль!$3:$3</definedName>
    <definedName name="_xlnm.Print_Titles" localSheetId="6">КПЭ!$3:$3</definedName>
    <definedName name="_xlnm.Print_Titles" localSheetId="31">КПЭбезЛьгот!$3:$3</definedName>
    <definedName name="_xlnm.Print_Titles" localSheetId="3">Макро!$3:$3</definedName>
    <definedName name="_xlnm.Print_Titles" localSheetId="28">НалЗемля!$3:$3</definedName>
    <definedName name="_xlnm.Print_Titles" localSheetId="29">НалИмущество!$3:$3</definedName>
    <definedName name="_xlnm.Print_Titles" localSheetId="13">НалогСвод!$3:$3</definedName>
    <definedName name="_xlnm.Print_Titles" localSheetId="27">НалПрибыль!$3:$3</definedName>
    <definedName name="_xlnm.Print_Titles" localSheetId="26">НДС!$3:$3</definedName>
    <definedName name="_xlnm.Print_Titles" localSheetId="22">ОбщПрРасходы!$3:$3</definedName>
    <definedName name="_xlnm.Print_Titles" localSheetId="1">Оглавление!$1:$3</definedName>
    <definedName name="_xlnm.Print_Titles" localSheetId="39">Описание!$1:$4</definedName>
    <definedName name="_xlnm.Print_Titles" localSheetId="20">Персонал!$3:$3</definedName>
    <definedName name="_xlnm.Print_Titles" localSheetId="24">ПрочДоходы!$3:$3</definedName>
    <definedName name="_xlnm.Print_Titles" localSheetId="25">ПрочРасходы!$3:$3</definedName>
    <definedName name="_xlnm.Print_Titles" localSheetId="21">Ресурсы!$3:$3</definedName>
    <definedName name="_xlnm.Print_Titles" localSheetId="19">Себестоимость!$3:$3</definedName>
    <definedName name="_xlnm.Print_Titles" localSheetId="30">УСН!$3:$3</definedName>
    <definedName name="_xlnm.Print_Titles" localSheetId="17">Финансы!$3:$3</definedName>
    <definedName name="_xlnm.Print_Titles" localSheetId="14">Чувствительность!$3:$3</definedName>
    <definedName name="_xlnm.Print_Titles" localSheetId="37">Шаблон!$3:$3</definedName>
    <definedName name="НалПрибыль">Макро!$F$33</definedName>
    <definedName name="_xlnm.Print_Area" localSheetId="23">АдмРасходы!$A$1:$AB$25</definedName>
    <definedName name="_xlnm.Print_Area" localSheetId="12">Баланс!$A$1:$AB$42</definedName>
    <definedName name="_xlnm.Print_Area" localSheetId="11">БДДС!$A$1:$AB$59</definedName>
    <definedName name="_xlnm.Print_Area" localSheetId="10">БДР!$A$1:$P$32</definedName>
    <definedName name="_xlnm.Print_Area" localSheetId="18">Выручка!$A$1:$AE$50</definedName>
    <definedName name="_xlnm.Print_Area" localSheetId="15">Дашборд_налоги!$A$1:$E$47</definedName>
    <definedName name="_xlnm.Print_Area" localSheetId="16">Инвестиции!$A$1:$AB$171</definedName>
    <definedName name="_xlnm.Print_Area" localSheetId="7">ИтогТаблицы!$A$1:$N$112</definedName>
    <definedName name="_xlnm.Print_Area" localSheetId="6">КПЭ!$A$1:$O$26</definedName>
    <definedName name="_xlnm.Print_Area" localSheetId="31">КПЭбезЛьгот!$A$1:$AB$33</definedName>
    <definedName name="_xlnm.Print_Area" localSheetId="28">НалЗемля!$A$1:$AB$21</definedName>
    <definedName name="_xlnm.Print_Area" localSheetId="29">НалИмущество!$A$1:$AB$23</definedName>
    <definedName name="_xlnm.Print_Area" localSheetId="13">НалогСвод!$A$1:$AB$34</definedName>
    <definedName name="_xlnm.Print_Area" localSheetId="27">НалПрибыль!$A$1:$AB$36</definedName>
    <definedName name="_xlnm.Print_Area" localSheetId="26">НДС!$A$1:$AB$20</definedName>
    <definedName name="_xlnm.Print_Area" localSheetId="22">ОбщПрРасходы!$A$1:$AB$26</definedName>
    <definedName name="_xlnm.Print_Area" localSheetId="1">Оглавление!$A$1:$C$57</definedName>
    <definedName name="_xlnm.Print_Area" localSheetId="39">Описание!$A$1:$F$44</definedName>
    <definedName name="_xlnm.Print_Area" localSheetId="20">Персонал!$A$1:$AE$59</definedName>
    <definedName name="_xlnm.Print_Area" localSheetId="24">ПрочДоходы!$A$1:$AB$12</definedName>
    <definedName name="_xlnm.Print_Area" localSheetId="25">ПрочРасходы!$A$1:$AB$12</definedName>
    <definedName name="_xlnm.Print_Area" localSheetId="21">Ресурсы!$A$1:$AF$65</definedName>
    <definedName name="_xlnm.Print_Area" localSheetId="19">Себестоимость!$A$1:$AE$47</definedName>
    <definedName name="_xlnm.Print_Area" localSheetId="30">УСН!$A$1:$AB$16</definedName>
    <definedName name="_xlnm.Print_Area" localSheetId="17">Финансы!$A$1:$AE$66</definedName>
    <definedName name="_xlnm.Print_Area" localSheetId="14">Чувствительность!$A$1:$Q$70</definedName>
    <definedName name="_xlnm.Print_Area" localSheetId="37">Шаблон!$A$1:$AB$116</definedName>
    <definedName name="Прибыль_до_налогообл" localSheetId="32">БДРбезЛьгот!$F$25:$O$25</definedName>
    <definedName name="Прибыль_до_налогообл">БДР!$F$25:$O$25</definedName>
    <definedName name="Прибыль_от_продаж" localSheetId="32">БДРбезЛьгот!$F$17:$O$17</definedName>
    <definedName name="Прибыль_от_продаж">БДР!$F$17:$O$17</definedName>
    <definedName name="Продажи" localSheetId="10">БДР!$F$5:$O$5</definedName>
    <definedName name="Продажи" localSheetId="32">БДРбезЛьгот!$F$5:$O$5</definedName>
    <definedName name="Себестоимость" localSheetId="10">БДР!$F$6:$O$6</definedName>
    <definedName name="Себестоимость" localSheetId="32">БДРбезЛьгот!$F$6:$O$6</definedName>
    <definedName name="СоцНалог">Макро!$F$59</definedName>
    <definedName name="СтавкаНДФЛ">Макро!$F$64</definedName>
    <definedName name="Чистая_прибыль" localSheetId="32">БДРбезЛьгот!$F$28:$O$28</definedName>
    <definedName name="Чистая_прибыль">БДР!$F$28:$O$28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5" i="1"/>
  <c r="C67" i="59"/>
  <c r="C55" i="59"/>
  <c r="C22" i="59"/>
  <c r="C21" i="59"/>
  <c r="C104" i="1" a="1"/>
  <c r="B7" i="2" a="1"/>
  <c r="C106" i="1" a="1"/>
  <c r="C101" i="1" a="1"/>
  <c r="B7" i="2" l="1"/>
  <c r="C106" i="1"/>
  <c r="C104" i="1"/>
  <c r="C101" i="1"/>
  <c r="F3" i="5"/>
  <c r="F3" i="6"/>
  <c r="F3" i="31"/>
  <c r="F3" i="29"/>
  <c r="F3" i="28"/>
  <c r="F3" i="32"/>
  <c r="F3" i="48"/>
  <c r="F3" i="26"/>
  <c r="F3" i="36"/>
  <c r="F3" i="25"/>
  <c r="F3" i="22"/>
  <c r="F3" i="24"/>
  <c r="F3" i="23"/>
  <c r="F3" i="20"/>
  <c r="F3" i="21"/>
  <c r="F3" i="19"/>
  <c r="F3" i="15"/>
  <c r="F3" i="18"/>
  <c r="F3" i="16"/>
  <c r="F3" i="17"/>
  <c r="F3" i="14"/>
  <c r="O181" i="47"/>
  <c r="N181" i="47"/>
  <c r="M181" i="47"/>
  <c r="L181" i="47"/>
  <c r="K181" i="47"/>
  <c r="J181" i="47"/>
  <c r="I181" i="47"/>
  <c r="H181" i="47"/>
  <c r="G181" i="47"/>
  <c r="F181" i="47"/>
  <c r="F122" i="47"/>
  <c r="F87" i="47"/>
  <c r="F3" i="47"/>
  <c r="F3" i="42"/>
  <c r="F3" i="9"/>
  <c r="F3" i="10"/>
  <c r="F3" i="11"/>
  <c r="C25" i="41"/>
  <c r="F3" i="12"/>
  <c r="F3" i="7"/>
  <c r="F3" i="13"/>
  <c r="C50" i="1"/>
  <c r="C49" i="1"/>
  <c r="C48" i="1"/>
  <c r="C47" i="1"/>
  <c r="C27" i="1"/>
  <c r="B15" i="2" a="1"/>
  <c r="C110" i="1" a="1"/>
  <c r="C102" i="1" a="1"/>
  <c r="B17" i="2" a="1"/>
  <c r="C103" i="1" a="1"/>
  <c r="C112" i="1" a="1"/>
  <c r="C111" i="1" a="1"/>
  <c r="B16" i="2" a="1"/>
  <c r="C105" i="1" a="1"/>
  <c r="C93" i="1" a="1"/>
  <c r="C97" i="1" a="1"/>
  <c r="C107" i="1" a="1"/>
  <c r="C111" i="1" l="1"/>
  <c r="B16" i="2"/>
  <c r="B17" i="2"/>
  <c r="B15" i="2"/>
  <c r="C112" i="1"/>
  <c r="C102" i="1"/>
  <c r="C105" i="1"/>
  <c r="C93" i="1"/>
  <c r="C107" i="1"/>
  <c r="C110" i="1"/>
  <c r="C103" i="1"/>
  <c r="C97" i="1"/>
  <c r="B11" i="47"/>
  <c r="G26" i="47"/>
  <c r="P65" i="7"/>
  <c r="O65" i="7"/>
  <c r="N65" i="7"/>
  <c r="M65" i="7"/>
  <c r="L65" i="7"/>
  <c r="K65" i="7"/>
  <c r="J65" i="7"/>
  <c r="I65" i="7"/>
  <c r="H65" i="7"/>
  <c r="G65" i="7"/>
  <c r="F65" i="7"/>
  <c r="D64" i="7"/>
  <c r="P62" i="7"/>
  <c r="O62" i="7"/>
  <c r="N62" i="7"/>
  <c r="M62" i="7"/>
  <c r="L62" i="7"/>
  <c r="K62" i="7"/>
  <c r="J62" i="7"/>
  <c r="I62" i="7"/>
  <c r="H62" i="7"/>
  <c r="G62" i="7"/>
  <c r="F62" i="7"/>
  <c r="D61" i="7"/>
  <c r="P59" i="7"/>
  <c r="O59" i="7"/>
  <c r="N59" i="7"/>
  <c r="M59" i="7"/>
  <c r="L59" i="7"/>
  <c r="K59" i="7"/>
  <c r="J59" i="7"/>
  <c r="I59" i="7"/>
  <c r="H59" i="7"/>
  <c r="G59" i="7"/>
  <c r="F59" i="7"/>
  <c r="D58" i="7"/>
  <c r="P56" i="7"/>
  <c r="O56" i="7"/>
  <c r="N56" i="7"/>
  <c r="M56" i="7"/>
  <c r="L56" i="7"/>
  <c r="K56" i="7"/>
  <c r="J56" i="7"/>
  <c r="I56" i="7"/>
  <c r="H56" i="7"/>
  <c r="G56" i="7"/>
  <c r="F56" i="7"/>
  <c r="D55" i="7"/>
  <c r="D52" i="7"/>
  <c r="P50" i="7"/>
  <c r="O50" i="7"/>
  <c r="N50" i="7"/>
  <c r="M50" i="7"/>
  <c r="L50" i="7"/>
  <c r="K50" i="7"/>
  <c r="J50" i="7"/>
  <c r="I50" i="7"/>
  <c r="H50" i="7"/>
  <c r="G50" i="7"/>
  <c r="F50" i="7"/>
  <c r="D49" i="7"/>
  <c r="P47" i="7"/>
  <c r="O47" i="7"/>
  <c r="N47" i="7"/>
  <c r="M47" i="7"/>
  <c r="L47" i="7"/>
  <c r="K47" i="7"/>
  <c r="J47" i="7"/>
  <c r="I47" i="7"/>
  <c r="H47" i="7"/>
  <c r="G47" i="7"/>
  <c r="F47" i="7"/>
  <c r="D46" i="7"/>
  <c r="P44" i="7"/>
  <c r="O44" i="7"/>
  <c r="N44" i="7"/>
  <c r="M44" i="7"/>
  <c r="L44" i="7"/>
  <c r="K44" i="7"/>
  <c r="J44" i="7"/>
  <c r="I44" i="7"/>
  <c r="H44" i="7"/>
  <c r="G44" i="7"/>
  <c r="F44" i="7"/>
  <c r="D43" i="7"/>
  <c r="P41" i="7"/>
  <c r="O41" i="7"/>
  <c r="N41" i="7"/>
  <c r="M41" i="7"/>
  <c r="L41" i="7"/>
  <c r="K41" i="7"/>
  <c r="J41" i="7"/>
  <c r="I41" i="7"/>
  <c r="H41" i="7"/>
  <c r="G41" i="7"/>
  <c r="D40" i="7"/>
  <c r="F41" i="7"/>
  <c r="B120" i="5" a="1"/>
  <c r="B122" i="5" a="1"/>
  <c r="B14" i="2" a="1"/>
  <c r="B118" i="5" a="1"/>
  <c r="B121" i="5" a="1"/>
  <c r="C40" i="37" a="1"/>
  <c r="C38" i="37" a="1"/>
  <c r="B123" i="5" a="1"/>
  <c r="B13" i="2" a="1"/>
  <c r="C42" i="37" a="1"/>
  <c r="B119" i="5" a="1"/>
  <c r="B6" i="2" a="1"/>
  <c r="B6" i="2" l="1"/>
  <c r="C38" i="37"/>
  <c r="C42" i="37"/>
  <c r="C40" i="37"/>
  <c r="B123" i="5"/>
  <c r="B118" i="5"/>
  <c r="B119" i="5"/>
  <c r="B120" i="5"/>
  <c r="B121" i="5"/>
  <c r="B122" i="5"/>
  <c r="B13" i="2"/>
  <c r="B14" i="2"/>
  <c r="D65" i="7"/>
  <c r="D62" i="7"/>
  <c r="D59" i="7"/>
  <c r="D56" i="7"/>
  <c r="D50" i="7"/>
  <c r="D47" i="7"/>
  <c r="D44" i="7"/>
  <c r="D41" i="7"/>
  <c r="F21" i="21"/>
  <c r="F20" i="21"/>
  <c r="F14" i="21"/>
  <c r="F13" i="21"/>
  <c r="F21" i="20"/>
  <c r="F20" i="20"/>
  <c r="F14" i="20"/>
  <c r="A197" i="6" a="1"/>
  <c r="A192" i="6" a="1"/>
  <c r="A123" i="6" a="1"/>
  <c r="A35" i="10" a="1"/>
  <c r="A42" i="10" a="1"/>
  <c r="B53" i="2" a="1"/>
  <c r="A184" i="6" a="1"/>
  <c r="A188" i="6" a="1"/>
  <c r="A134" i="6" a="1"/>
  <c r="A196" i="6" a="1"/>
  <c r="A114" i="6" a="1"/>
  <c r="A172" i="6" a="1"/>
  <c r="A113" i="6" a="1"/>
  <c r="A180" i="6" a="1"/>
  <c r="A13" i="10" a="1"/>
  <c r="A173" i="6" a="1"/>
  <c r="A17" i="10" a="1"/>
  <c r="A176" i="6" a="1"/>
  <c r="A177" i="6" a="1"/>
  <c r="A189" i="6" a="1"/>
  <c r="A45" i="10" a="1"/>
  <c r="A127" i="6" a="1"/>
  <c r="A130" i="6" a="1"/>
  <c r="A181" i="6" a="1"/>
  <c r="A48" i="10" a="1"/>
  <c r="A135" i="6" a="1"/>
  <c r="A193" i="6" a="1"/>
  <c r="A126" i="6" a="1"/>
  <c r="A20" i="10" a="1"/>
  <c r="A185" i="6" a="1"/>
  <c r="A122" i="6" a="1"/>
  <c r="A105" i="6" a="1"/>
  <c r="A32" i="10" a="1"/>
  <c r="B53" i="2" l="1"/>
  <c r="A196" i="6"/>
  <c r="A48" i="10"/>
  <c r="A197" i="6"/>
  <c r="A192" i="6"/>
  <c r="A45" i="10"/>
  <c r="A193" i="6"/>
  <c r="A188" i="6"/>
  <c r="A42" i="10"/>
  <c r="A189" i="6"/>
  <c r="A185" i="6"/>
  <c r="A184" i="6"/>
  <c r="A35" i="10"/>
  <c r="A180" i="6"/>
  <c r="A32" i="10"/>
  <c r="A181" i="6"/>
  <c r="A176" i="6"/>
  <c r="A20" i="10"/>
  <c r="A177" i="6"/>
  <c r="A122" i="6"/>
  <c r="A126" i="6"/>
  <c r="A123" i="6"/>
  <c r="A17" i="10"/>
  <c r="A127" i="6"/>
  <c r="A172" i="6"/>
  <c r="A173" i="6"/>
  <c r="A134" i="6"/>
  <c r="A130" i="6"/>
  <c r="A135" i="6"/>
  <c r="A13" i="10"/>
  <c r="A113" i="6"/>
  <c r="A114" i="6"/>
  <c r="A105" i="6"/>
  <c r="F13" i="20"/>
  <c r="G13" i="21"/>
  <c r="G31" i="13"/>
  <c r="B18" i="23" a="1"/>
  <c r="B27" i="22" a="1"/>
  <c r="B66" i="16" a="1"/>
  <c r="B28" i="26" a="1"/>
  <c r="A106" i="6" a="1"/>
  <c r="A153" i="6" a="1"/>
  <c r="A163" i="56" a="1"/>
  <c r="B21" i="48" a="1"/>
  <c r="A9" i="10" a="1"/>
  <c r="A87" i="6" a="1"/>
  <c r="B177" i="14" a="1"/>
  <c r="B23" i="48" a="1"/>
  <c r="A24" i="11" a="1"/>
  <c r="B30" i="20" a="1"/>
  <c r="A157" i="6" a="1"/>
  <c r="B29" i="26" a="1"/>
  <c r="A164" i="6" a="1"/>
  <c r="A86" i="6" a="1"/>
  <c r="A158" i="6" a="1"/>
  <c r="A162" i="6" a="1"/>
  <c r="B72" i="17" a="1"/>
  <c r="B26" i="22" a="1"/>
  <c r="B32" i="21" a="1"/>
  <c r="A159" i="6" a="1"/>
  <c r="A144" i="6" a="1"/>
  <c r="B49" i="9" a="1"/>
  <c r="B72" i="19" a="1"/>
  <c r="B48" i="9" a="1"/>
  <c r="B66" i="15" a="1"/>
  <c r="B44" i="11" a="1"/>
  <c r="A155" i="6" a="1"/>
  <c r="B41" i="42" a="1"/>
  <c r="B73" i="19" a="1"/>
  <c r="A89" i="47" a="1"/>
  <c r="A149" i="6" a="1"/>
  <c r="B73" i="17" a="1"/>
  <c r="B17" i="23" a="1"/>
  <c r="A15" i="11" a="1"/>
  <c r="A154" i="6" a="1"/>
  <c r="B41" i="25" a="1"/>
  <c r="A139" i="6" a="1"/>
  <c r="A27" i="11" a="1"/>
  <c r="A148" i="6" a="1"/>
  <c r="B39" i="42" a="1"/>
  <c r="A167" i="6" a="1"/>
  <c r="B51" i="18" a="1"/>
  <c r="A117" i="6" a="1"/>
  <c r="B66" i="10" a="1"/>
  <c r="A131" i="6" a="1"/>
  <c r="A143" i="6" a="1"/>
  <c r="B43" i="11" a="1"/>
  <c r="B31" i="20" a="1"/>
  <c r="B65" i="16" a="1"/>
  <c r="B50" i="9" a="1"/>
  <c r="A171" i="6" a="1"/>
  <c r="B28" i="22" a="1"/>
  <c r="B71" i="19" a="1"/>
  <c r="A145" i="6" a="1"/>
  <c r="B31" i="21" a="1"/>
  <c r="B67" i="16" a="1"/>
  <c r="B27" i="36" a="1"/>
  <c r="B43" i="25" a="1"/>
  <c r="A116" i="6" a="1"/>
  <c r="B22" i="48" a="1"/>
  <c r="B25" i="36" a="1"/>
  <c r="A82" i="6" a="1"/>
  <c r="B52" i="18" a="1"/>
  <c r="A168" i="6" a="1"/>
  <c r="B176" i="14" a="1"/>
  <c r="B17" i="24" a="1"/>
  <c r="B18" i="24" a="1"/>
  <c r="B67" i="10" a="1"/>
  <c r="B68" i="10" a="1"/>
  <c r="A6" i="19" a="1"/>
  <c r="A89" i="6" a="1"/>
  <c r="A9" i="16" a="1"/>
  <c r="A150" i="6" a="1"/>
  <c r="B16" i="23" a="1"/>
  <c r="B32" i="20" a="1"/>
  <c r="B42" i="25" a="1"/>
  <c r="B16" i="24" a="1"/>
  <c r="A140" i="6" a="1"/>
  <c r="B68" i="15" a="1"/>
  <c r="B30" i="26" a="1"/>
  <c r="A12" i="10" a="1"/>
  <c r="B53" i="18" a="1"/>
  <c r="B45" i="11" a="1"/>
  <c r="B40" i="42" a="1"/>
  <c r="A119" i="6" a="1"/>
  <c r="B42" i="11" a="1"/>
  <c r="A23" i="11" a="1"/>
  <c r="A8" i="10" a="1"/>
  <c r="B74" i="17" a="1"/>
  <c r="A8" i="18" a="1"/>
  <c r="B67" i="15" a="1"/>
  <c r="A83" i="6" a="1"/>
  <c r="A163" i="6" a="1"/>
  <c r="B178" i="14" a="1"/>
  <c r="A138" i="6" a="1"/>
  <c r="B30" i="21" a="1"/>
  <c r="B26" i="36" a="1"/>
  <c r="G21" i="21" l="1"/>
  <c r="G20" i="21"/>
  <c r="G14" i="20"/>
  <c r="G20" i="20"/>
  <c r="G21" i="20"/>
  <c r="G14" i="21"/>
  <c r="G13" i="20"/>
  <c r="H31" i="13"/>
  <c r="A9" i="16"/>
  <c r="A6" i="19"/>
  <c r="A8" i="18"/>
  <c r="A89" i="47"/>
  <c r="A106" i="6"/>
  <c r="A140" i="6"/>
  <c r="A12" i="10"/>
  <c r="A164" i="6"/>
  <c r="A159" i="6"/>
  <c r="A155" i="6"/>
  <c r="A150" i="6"/>
  <c r="A145" i="6"/>
  <c r="A171" i="6"/>
  <c r="A9" i="10"/>
  <c r="A168" i="6"/>
  <c r="A167" i="6"/>
  <c r="A8" i="10"/>
  <c r="B23" i="48"/>
  <c r="B21" i="48"/>
  <c r="B22" i="48"/>
  <c r="B30" i="26"/>
  <c r="B28" i="26"/>
  <c r="B29" i="26"/>
  <c r="B27" i="36"/>
  <c r="B25" i="36"/>
  <c r="B26" i="36"/>
  <c r="B43" i="25"/>
  <c r="B42" i="25"/>
  <c r="B41" i="25"/>
  <c r="B28" i="22"/>
  <c r="B27" i="22"/>
  <c r="B26" i="22"/>
  <c r="B18" i="24"/>
  <c r="B16" i="24"/>
  <c r="B17" i="24"/>
  <c r="B18" i="23"/>
  <c r="B16" i="23"/>
  <c r="B17" i="23"/>
  <c r="B32" i="20"/>
  <c r="B31" i="20"/>
  <c r="B30" i="20"/>
  <c r="B32" i="21"/>
  <c r="B31" i="21"/>
  <c r="B30" i="21"/>
  <c r="B73" i="19"/>
  <c r="B72" i="19"/>
  <c r="B71" i="19"/>
  <c r="B68" i="15"/>
  <c r="B66" i="15"/>
  <c r="B67" i="15"/>
  <c r="B53" i="18"/>
  <c r="B51" i="18"/>
  <c r="B52" i="18"/>
  <c r="B67" i="16"/>
  <c r="B66" i="16"/>
  <c r="B65" i="16"/>
  <c r="B74" i="17"/>
  <c r="B73" i="17"/>
  <c r="B72" i="17"/>
  <c r="B178" i="14"/>
  <c r="B176" i="14"/>
  <c r="B177" i="14"/>
  <c r="B41" i="42"/>
  <c r="B40" i="42"/>
  <c r="B39" i="42"/>
  <c r="B48" i="9"/>
  <c r="B49" i="9"/>
  <c r="B50" i="9"/>
  <c r="B66" i="10"/>
  <c r="B67" i="10"/>
  <c r="B68" i="10"/>
  <c r="B45" i="11"/>
  <c r="B44" i="11"/>
  <c r="B43" i="11"/>
  <c r="B42" i="11"/>
  <c r="A162" i="6"/>
  <c r="A27" i="11"/>
  <c r="A163" i="6"/>
  <c r="A157" i="6"/>
  <c r="A24" i="11"/>
  <c r="A153" i="6"/>
  <c r="A23" i="11"/>
  <c r="A154" i="6"/>
  <c r="A158" i="6"/>
  <c r="A148" i="6"/>
  <c r="A143" i="6"/>
  <c r="A149" i="6"/>
  <c r="A144" i="6"/>
  <c r="A15" i="11"/>
  <c r="A131" i="6"/>
  <c r="A89" i="6"/>
  <c r="A139" i="6"/>
  <c r="A138" i="6"/>
  <c r="A119" i="6"/>
  <c r="A117" i="6"/>
  <c r="A116" i="6"/>
  <c r="A83" i="6"/>
  <c r="A82" i="6"/>
  <c r="A86" i="6"/>
  <c r="A87" i="6"/>
  <c r="A163" i="56"/>
  <c r="A2" i="56"/>
  <c r="A2" i="55"/>
  <c r="A109" i="6" a="1"/>
  <c r="A102" i="56" a="1"/>
  <c r="A101" i="6" a="1"/>
  <c r="A18" i="26" a="1"/>
  <c r="A110" i="6" a="1"/>
  <c r="A82" i="56" a="1"/>
  <c r="A102" i="6" a="1"/>
  <c r="A97" i="6" a="1"/>
  <c r="A24" i="56" a="1"/>
  <c r="A143" i="56" a="1"/>
  <c r="A43" i="56" a="1"/>
  <c r="A5" i="56" a="1"/>
  <c r="A11" i="12" a="1"/>
  <c r="A94" i="6" a="1"/>
  <c r="A98" i="6" a="1"/>
  <c r="A93" i="6" a="1"/>
  <c r="A123" i="56" a="1"/>
  <c r="A63" i="56" a="1"/>
  <c r="H20" i="21" l="1"/>
  <c r="H14" i="20"/>
  <c r="H20" i="20"/>
  <c r="H21" i="20"/>
  <c r="H14" i="21"/>
  <c r="H21" i="21"/>
  <c r="I31" i="13"/>
  <c r="H13" i="21"/>
  <c r="H13" i="20"/>
  <c r="A102" i="56"/>
  <c r="A123" i="56"/>
  <c r="A43" i="56"/>
  <c r="A82" i="56"/>
  <c r="A63" i="56"/>
  <c r="A24" i="56"/>
  <c r="A143" i="56"/>
  <c r="A5" i="56"/>
  <c r="A93" i="6"/>
  <c r="A94" i="6"/>
  <c r="A110" i="6"/>
  <c r="A109" i="6"/>
  <c r="A102" i="6"/>
  <c r="A101" i="6"/>
  <c r="A97" i="6"/>
  <c r="A98" i="6"/>
  <c r="A18" i="26"/>
  <c r="A11" i="12"/>
  <c r="J31" i="13" l="1"/>
  <c r="I14" i="20"/>
  <c r="I20" i="20"/>
  <c r="I21" i="20"/>
  <c r="I14" i="21"/>
  <c r="I21" i="21"/>
  <c r="I20" i="21"/>
  <c r="I13" i="21"/>
  <c r="I13" i="20"/>
  <c r="J23" i="11"/>
  <c r="J154" i="6" s="1"/>
  <c r="H23" i="10"/>
  <c r="H155" i="6" s="1"/>
  <c r="F23" i="10"/>
  <c r="F155" i="6" s="1"/>
  <c r="O15" i="36"/>
  <c r="N15" i="36"/>
  <c r="M15" i="36"/>
  <c r="M153" i="6" s="1"/>
  <c r="L15" i="36"/>
  <c r="L23" i="10" s="1"/>
  <c r="L155" i="6" s="1"/>
  <c r="K15" i="36"/>
  <c r="K153" i="6" s="1"/>
  <c r="J15" i="36"/>
  <c r="I15" i="36"/>
  <c r="H15" i="36"/>
  <c r="H153" i="6" s="1"/>
  <c r="G15" i="36"/>
  <c r="F15" i="36"/>
  <c r="F14" i="36"/>
  <c r="G14" i="36"/>
  <c r="H14" i="36"/>
  <c r="I14" i="36"/>
  <c r="J14" i="36"/>
  <c r="K14" i="36"/>
  <c r="L14" i="36"/>
  <c r="M14" i="36"/>
  <c r="N14" i="36"/>
  <c r="O14" i="36"/>
  <c r="A14" i="36" a="1"/>
  <c r="A22" i="11" a="1"/>
  <c r="A17" i="13" a="1"/>
  <c r="A23" i="10" a="1"/>
  <c r="B25" i="2" a="1"/>
  <c r="D11" i="51" a="1"/>
  <c r="B22" i="36" a="1"/>
  <c r="B22" i="2" a="1"/>
  <c r="B8" i="2" a="1"/>
  <c r="K23" i="10" l="1"/>
  <c r="K155" i="6" s="1"/>
  <c r="K23" i="11"/>
  <c r="K154" i="6" s="1"/>
  <c r="O23" i="10"/>
  <c r="O155" i="6" s="1"/>
  <c r="O153" i="6"/>
  <c r="O23" i="11"/>
  <c r="O154" i="6" s="1"/>
  <c r="D15" i="36"/>
  <c r="F153" i="6"/>
  <c r="G23" i="10"/>
  <c r="G155" i="6" s="1"/>
  <c r="G153" i="6"/>
  <c r="M23" i="10"/>
  <c r="M155" i="6" s="1"/>
  <c r="N23" i="11"/>
  <c r="N154" i="6" s="1"/>
  <c r="N153" i="6"/>
  <c r="N23" i="10"/>
  <c r="N155" i="6" s="1"/>
  <c r="M23" i="11"/>
  <c r="M154" i="6" s="1"/>
  <c r="I23" i="10"/>
  <c r="I155" i="6" s="1"/>
  <c r="I153" i="6"/>
  <c r="J23" i="10"/>
  <c r="J155" i="6" s="1"/>
  <c r="J153" i="6"/>
  <c r="F23" i="11"/>
  <c r="F154" i="6" s="1"/>
  <c r="H23" i="11"/>
  <c r="H154" i="6" s="1"/>
  <c r="L23" i="11"/>
  <c r="L154" i="6" s="1"/>
  <c r="L153" i="6"/>
  <c r="K31" i="13"/>
  <c r="J14" i="20"/>
  <c r="J20" i="20"/>
  <c r="J21" i="20"/>
  <c r="J14" i="21"/>
  <c r="J21" i="21"/>
  <c r="J20" i="21"/>
  <c r="J13" i="20"/>
  <c r="J13" i="21"/>
  <c r="A17" i="13"/>
  <c r="D11" i="51"/>
  <c r="B25" i="2"/>
  <c r="B22" i="2"/>
  <c r="B8" i="2"/>
  <c r="G23" i="11"/>
  <c r="G154" i="6" s="1"/>
  <c r="I23" i="11"/>
  <c r="I154" i="6" s="1"/>
  <c r="A23" i="10"/>
  <c r="A22" i="11"/>
  <c r="A14" i="36"/>
  <c r="B22" i="36"/>
  <c r="P9" i="47"/>
  <c r="Q9" i="47" s="1"/>
  <c r="F182" i="47" s="1"/>
  <c r="Q72" i="41" a="1"/>
  <c r="Q75" i="41" a="1"/>
  <c r="A6" i="42" a="1"/>
  <c r="Q73" i="41" a="1"/>
  <c r="P96" i="41" a="1"/>
  <c r="Q74" i="41" a="1"/>
  <c r="P109" i="41" a="1"/>
  <c r="A11" i="32" a="1"/>
  <c r="Q69" i="41" a="1"/>
  <c r="D155" i="6" l="1"/>
  <c r="L31" i="13"/>
  <c r="K21" i="20"/>
  <c r="K14" i="21"/>
  <c r="K21" i="21"/>
  <c r="K20" i="21"/>
  <c r="K20" i="20"/>
  <c r="K14" i="20"/>
  <c r="K13" i="21"/>
  <c r="K13" i="20"/>
  <c r="D153" i="6"/>
  <c r="D154" i="6"/>
  <c r="Q75" i="41"/>
  <c r="Q73" i="41"/>
  <c r="Q74" i="41"/>
  <c r="Q72" i="41"/>
  <c r="Q69" i="41"/>
  <c r="P109" i="41"/>
  <c r="P96" i="41"/>
  <c r="A11" i="32"/>
  <c r="A6" i="42"/>
  <c r="M31" i="13" l="1"/>
  <c r="L14" i="21"/>
  <c r="L21" i="21"/>
  <c r="L20" i="21"/>
  <c r="L21" i="20"/>
  <c r="L14" i="20"/>
  <c r="L20" i="20"/>
  <c r="L13" i="21"/>
  <c r="L13" i="20"/>
  <c r="B65" i="41"/>
  <c r="D25" i="41"/>
  <c r="E25" i="41" s="1"/>
  <c r="F25" i="41" s="1"/>
  <c r="G25" i="41" s="1"/>
  <c r="H25" i="41" s="1"/>
  <c r="I25" i="41" s="1"/>
  <c r="J25" i="41" s="1"/>
  <c r="K25" i="41" s="1"/>
  <c r="L25" i="41" s="1"/>
  <c r="M25" i="41" s="1"/>
  <c r="B15" i="41" s="1"/>
  <c r="A32" i="42" a="1"/>
  <c r="Q70" i="41" a="1"/>
  <c r="B48" i="18" a="1"/>
  <c r="A30" i="12" a="1"/>
  <c r="B35" i="2" a="1"/>
  <c r="N31" i="13" l="1"/>
  <c r="M21" i="21"/>
  <c r="M20" i="21"/>
  <c r="M14" i="21"/>
  <c r="M14" i="20"/>
  <c r="M20" i="20"/>
  <c r="M21" i="20"/>
  <c r="M13" i="21"/>
  <c r="M13" i="20"/>
  <c r="A30" i="12"/>
  <c r="Q70" i="41"/>
  <c r="B35" i="2"/>
  <c r="B48" i="18"/>
  <c r="A32" i="42"/>
  <c r="O31" i="13" l="1"/>
  <c r="N14" i="20"/>
  <c r="N20" i="21"/>
  <c r="N20" i="20"/>
  <c r="N21" i="20"/>
  <c r="N14" i="21"/>
  <c r="N21" i="21"/>
  <c r="N13" i="21"/>
  <c r="N13" i="20"/>
  <c r="R3" i="6"/>
  <c r="F1" i="37"/>
  <c r="D31" i="42"/>
  <c r="A2" i="51"/>
  <c r="A2" i="9"/>
  <c r="A2" i="52"/>
  <c r="C87" i="41"/>
  <c r="P64" i="13"/>
  <c r="O64" i="13"/>
  <c r="N64" i="13"/>
  <c r="M64" i="13"/>
  <c r="L64" i="13"/>
  <c r="K64" i="13"/>
  <c r="J64" i="13"/>
  <c r="I64" i="13"/>
  <c r="H64" i="13"/>
  <c r="G64" i="13"/>
  <c r="F64" i="13"/>
  <c r="B70" i="19" a="1"/>
  <c r="B36" i="42" a="1"/>
  <c r="B25" i="22" a="1"/>
  <c r="B19" i="48" a="1"/>
  <c r="P67" i="41" a="1"/>
  <c r="B38" i="25" a="1"/>
  <c r="B37" i="42" a="1"/>
  <c r="B20" i="48" a="1"/>
  <c r="B23" i="22" a="1"/>
  <c r="B25" i="26" a="1"/>
  <c r="P68" i="41" a="1"/>
  <c r="B13" i="23" a="1"/>
  <c r="B13" i="24" a="1"/>
  <c r="B69" i="19" a="1"/>
  <c r="B24" i="36" a="1"/>
  <c r="B14" i="23" a="1"/>
  <c r="B71" i="17" a="1"/>
  <c r="B70" i="17" a="1"/>
  <c r="B28" i="21" a="1"/>
  <c r="B65" i="10" a="1"/>
  <c r="B15" i="23" a="1"/>
  <c r="P75" i="41" a="1"/>
  <c r="P69" i="41" a="1"/>
  <c r="P83" i="41" a="1"/>
  <c r="B24" i="22" a="1"/>
  <c r="B26" i="26" a="1"/>
  <c r="B62" i="16" a="1"/>
  <c r="B64" i="10" a="1"/>
  <c r="B64" i="16" a="1"/>
  <c r="B20" i="2" a="1"/>
  <c r="B15" i="24" a="1"/>
  <c r="A12" i="42" a="1"/>
  <c r="B41" i="11" a="1"/>
  <c r="B23" i="36" a="1"/>
  <c r="B65" i="15" a="1"/>
  <c r="B27" i="26" a="1"/>
  <c r="B174" i="14" a="1"/>
  <c r="B14" i="24" a="1"/>
  <c r="B64" i="15" a="1"/>
  <c r="B39" i="25" a="1"/>
  <c r="B27" i="20" a="1"/>
  <c r="B50" i="18" a="1"/>
  <c r="B173" i="14" a="1"/>
  <c r="B21" i="2" a="1"/>
  <c r="B63" i="15" a="1"/>
  <c r="B69" i="17" a="1"/>
  <c r="B49" i="18" a="1"/>
  <c r="B18" i="2" a="1"/>
  <c r="B18" i="48" a="1"/>
  <c r="P74" i="41" a="1"/>
  <c r="P72" i="41" a="1"/>
  <c r="B19" i="2" a="1"/>
  <c r="B29" i="20" a="1"/>
  <c r="B46" i="9" a="1"/>
  <c r="B28" i="20" a="1"/>
  <c r="B27" i="21" a="1"/>
  <c r="B29" i="21" a="1"/>
  <c r="B40" i="25" a="1"/>
  <c r="B63" i="16" a="1"/>
  <c r="B47" i="9" a="1"/>
  <c r="B68" i="19" a="1"/>
  <c r="B38" i="42" a="1"/>
  <c r="B175" i="14" a="1"/>
  <c r="P87" i="41" a="1"/>
  <c r="P73" i="41" a="1"/>
  <c r="P31" i="13" l="1"/>
  <c r="O21" i="20"/>
  <c r="O14" i="20"/>
  <c r="O20" i="20"/>
  <c r="O14" i="21"/>
  <c r="O21" i="21"/>
  <c r="O20" i="21"/>
  <c r="O13" i="20"/>
  <c r="O13" i="21"/>
  <c r="E31" i="42"/>
  <c r="D74" i="41"/>
  <c r="B21" i="2"/>
  <c r="B46" i="9"/>
  <c r="B47" i="9"/>
  <c r="B65" i="10"/>
  <c r="B64" i="10"/>
  <c r="B41" i="11"/>
  <c r="B18" i="48"/>
  <c r="B19" i="48"/>
  <c r="B20" i="48"/>
  <c r="B25" i="26"/>
  <c r="B26" i="26"/>
  <c r="B27" i="26"/>
  <c r="B23" i="36"/>
  <c r="B24" i="36"/>
  <c r="B38" i="25"/>
  <c r="B39" i="25"/>
  <c r="B40" i="25"/>
  <c r="B23" i="22"/>
  <c r="B25" i="22"/>
  <c r="B24" i="22"/>
  <c r="B20" i="2"/>
  <c r="B36" i="42"/>
  <c r="B37" i="42"/>
  <c r="B38" i="42"/>
  <c r="B18" i="2"/>
  <c r="P67" i="41"/>
  <c r="P69" i="41"/>
  <c r="P68" i="41"/>
  <c r="P75" i="41"/>
  <c r="P73" i="41"/>
  <c r="P74" i="41"/>
  <c r="P72" i="41"/>
  <c r="A12" i="42"/>
  <c r="P87" i="41"/>
  <c r="P83" i="41"/>
  <c r="B13" i="24"/>
  <c r="B15" i="24"/>
  <c r="B14" i="24"/>
  <c r="B15" i="23"/>
  <c r="B14" i="23"/>
  <c r="B13" i="23"/>
  <c r="B28" i="20"/>
  <c r="B27" i="20"/>
  <c r="B29" i="20"/>
  <c r="B27" i="21"/>
  <c r="B28" i="21"/>
  <c r="B29" i="21"/>
  <c r="B70" i="19"/>
  <c r="B69" i="19"/>
  <c r="B68" i="19"/>
  <c r="B65" i="15"/>
  <c r="B64" i="15"/>
  <c r="B63" i="15"/>
  <c r="B174" i="14"/>
  <c r="B173" i="14"/>
  <c r="B175" i="14"/>
  <c r="B71" i="17"/>
  <c r="B69" i="17"/>
  <c r="B70" i="17"/>
  <c r="B64" i="16"/>
  <c r="B62" i="16"/>
  <c r="B63" i="16"/>
  <c r="B50" i="18"/>
  <c r="B49" i="18"/>
  <c r="B19" i="2"/>
  <c r="O57" i="17"/>
  <c r="N57" i="17"/>
  <c r="M57" i="17"/>
  <c r="L57" i="17"/>
  <c r="K57" i="17"/>
  <c r="J57" i="17"/>
  <c r="I57" i="17"/>
  <c r="H57" i="17"/>
  <c r="G57" i="17"/>
  <c r="F57" i="17"/>
  <c r="F48" i="17"/>
  <c r="O48" i="17"/>
  <c r="N48" i="17"/>
  <c r="M48" i="17"/>
  <c r="L48" i="17"/>
  <c r="K48" i="17"/>
  <c r="J48" i="17"/>
  <c r="I48" i="17"/>
  <c r="H48" i="17"/>
  <c r="G48" i="17"/>
  <c r="F39" i="17"/>
  <c r="O39" i="17"/>
  <c r="N39" i="17"/>
  <c r="M39" i="17"/>
  <c r="L39" i="17"/>
  <c r="K39" i="17"/>
  <c r="J39" i="17"/>
  <c r="I39" i="17"/>
  <c r="H39" i="17"/>
  <c r="G39" i="17"/>
  <c r="F30" i="17"/>
  <c r="E31" i="51" s="1"/>
  <c r="O30" i="17"/>
  <c r="N31" i="51" s="1"/>
  <c r="N30" i="17"/>
  <c r="M31" i="51" s="1"/>
  <c r="M30" i="17"/>
  <c r="L31" i="51" s="1"/>
  <c r="L30" i="17"/>
  <c r="K31" i="51" s="1"/>
  <c r="K30" i="17"/>
  <c r="J31" i="51" s="1"/>
  <c r="J30" i="17"/>
  <c r="I31" i="51" s="1"/>
  <c r="I30" i="17"/>
  <c r="H31" i="51" s="1"/>
  <c r="H30" i="17"/>
  <c r="G31" i="51" s="1"/>
  <c r="G30" i="17"/>
  <c r="F31" i="51" s="1"/>
  <c r="N62" i="47"/>
  <c r="M62" i="47"/>
  <c r="L62" i="47"/>
  <c r="K62" i="47"/>
  <c r="J62" i="47"/>
  <c r="I62" i="47"/>
  <c r="H59" i="47"/>
  <c r="H58" i="47"/>
  <c r="H57" i="47"/>
  <c r="H56" i="47"/>
  <c r="H55" i="47"/>
  <c r="H54" i="47"/>
  <c r="N53" i="47"/>
  <c r="M53" i="47"/>
  <c r="L53" i="47"/>
  <c r="K53" i="47"/>
  <c r="J53" i="47"/>
  <c r="I53" i="47"/>
  <c r="N44" i="47"/>
  <c r="M44" i="47"/>
  <c r="L44" i="47"/>
  <c r="K44" i="47"/>
  <c r="J44" i="47"/>
  <c r="I44" i="47"/>
  <c r="H41" i="47"/>
  <c r="H40" i="47"/>
  <c r="H39" i="47"/>
  <c r="H38" i="47"/>
  <c r="H37" i="47"/>
  <c r="H36" i="47"/>
  <c r="N35" i="47"/>
  <c r="M35" i="47"/>
  <c r="L35" i="47"/>
  <c r="K35" i="47"/>
  <c r="J35" i="47"/>
  <c r="I35" i="47"/>
  <c r="H32" i="47"/>
  <c r="H31" i="47"/>
  <c r="H30" i="47"/>
  <c r="H29" i="47"/>
  <c r="H28" i="47"/>
  <c r="H27" i="47"/>
  <c r="N26" i="47"/>
  <c r="M26" i="47"/>
  <c r="L26" i="47"/>
  <c r="K26" i="47"/>
  <c r="J26" i="47"/>
  <c r="I26" i="47"/>
  <c r="C6" i="51"/>
  <c r="C10" i="51"/>
  <c r="C12" i="51"/>
  <c r="C18" i="51"/>
  <c r="C21" i="51"/>
  <c r="C9" i="51" s="1"/>
  <c r="E34" i="51"/>
  <c r="F34" i="51"/>
  <c r="G34" i="51"/>
  <c r="H34" i="51"/>
  <c r="I34" i="51"/>
  <c r="J34" i="51"/>
  <c r="K34" i="51"/>
  <c r="L34" i="51"/>
  <c r="M34" i="51"/>
  <c r="N34" i="51"/>
  <c r="A17" i="17" a="1"/>
  <c r="R17" i="41" a="1"/>
  <c r="R20" i="41" a="1"/>
  <c r="D5" i="51" a="1"/>
  <c r="R19" i="41" a="1"/>
  <c r="R18" i="41" a="1"/>
  <c r="A48" i="17" a="1"/>
  <c r="A38" i="17" a="1"/>
  <c r="B11" i="2" a="1"/>
  <c r="P21" i="41" a="1"/>
  <c r="R21" i="41" a="1"/>
  <c r="Q21" i="41" a="1"/>
  <c r="A57" i="17" a="1"/>
  <c r="A30" i="17" a="1"/>
  <c r="L22" i="17" l="1"/>
  <c r="K22" i="17"/>
  <c r="J22" i="17"/>
  <c r="I22" i="17"/>
  <c r="H22" i="17"/>
  <c r="G22" i="17"/>
  <c r="M22" i="17"/>
  <c r="G23" i="17"/>
  <c r="O22" i="17"/>
  <c r="N22" i="17"/>
  <c r="F23" i="17"/>
  <c r="F22" i="17"/>
  <c r="F21" i="17"/>
  <c r="A57" i="17"/>
  <c r="A48" i="17"/>
  <c r="A38" i="17"/>
  <c r="A30" i="17"/>
  <c r="A17" i="17"/>
  <c r="D5" i="51"/>
  <c r="R20" i="41"/>
  <c r="R19" i="41"/>
  <c r="Q21" i="41"/>
  <c r="P21" i="41"/>
  <c r="R21" i="41"/>
  <c r="R18" i="41"/>
  <c r="R17" i="41"/>
  <c r="B11" i="2"/>
  <c r="A86" i="47"/>
  <c r="N192" i="6" l="1"/>
  <c r="O192" i="6"/>
  <c r="F196" i="6"/>
  <c r="G196" i="6"/>
  <c r="M192" i="6"/>
  <c r="G192" i="6"/>
  <c r="H192" i="6"/>
  <c r="I192" i="6"/>
  <c r="F192" i="6"/>
  <c r="J192" i="6"/>
  <c r="K192" i="6"/>
  <c r="L192" i="6"/>
  <c r="G87" i="47"/>
  <c r="H87" i="47" s="1"/>
  <c r="I87" i="47" s="1"/>
  <c r="J87" i="47" s="1"/>
  <c r="K87" i="47" s="1"/>
  <c r="L87" i="47" s="1"/>
  <c r="M87" i="47" s="1"/>
  <c r="N87" i="47" s="1"/>
  <c r="O87" i="47" s="1"/>
  <c r="D87" i="47" s="1"/>
  <c r="A91" i="47" a="1"/>
  <c r="A92" i="47" a="1"/>
  <c r="D192" i="6" l="1"/>
  <c r="A91" i="47"/>
  <c r="A92" i="47"/>
  <c r="A93" i="47" a="1"/>
  <c r="A93" i="47" l="1"/>
  <c r="A94" i="47" a="1"/>
  <c r="A94" i="47" l="1"/>
  <c r="A95" i="47" a="1"/>
  <c r="A95" i="47" l="1"/>
  <c r="A99" i="47" a="1"/>
  <c r="A99" i="47" l="1"/>
  <c r="A100" i="47" a="1"/>
  <c r="A100" i="47" l="1"/>
  <c r="D103" i="47"/>
  <c r="A105" i="47" a="1"/>
  <c r="A105" i="47" l="1"/>
  <c r="D107" i="47"/>
  <c r="A121" i="47"/>
  <c r="A108" i="47" a="1"/>
  <c r="A127" i="47" a="1"/>
  <c r="A106" i="47" a="1"/>
  <c r="A108" i="47" l="1"/>
  <c r="A106" i="47"/>
  <c r="G122" i="47"/>
  <c r="H122" i="47" s="1"/>
  <c r="I122" i="47" s="1"/>
  <c r="J122" i="47" s="1"/>
  <c r="K122" i="47" s="1"/>
  <c r="L122" i="47" s="1"/>
  <c r="M122" i="47" s="1"/>
  <c r="N122" i="47" s="1"/>
  <c r="O122" i="47" s="1"/>
  <c r="D122" i="47" s="1"/>
  <c r="A127" i="47"/>
  <c r="A131" i="47" a="1"/>
  <c r="A128" i="47" a="1"/>
  <c r="A132" i="47" a="1"/>
  <c r="A131" i="47" l="1"/>
  <c r="A128" i="47"/>
  <c r="A132" i="47"/>
  <c r="A133" i="47" a="1"/>
  <c r="A133" i="47" l="1"/>
  <c r="A134" i="47" a="1"/>
  <c r="A134" i="47" l="1"/>
  <c r="A135" i="47" a="1"/>
  <c r="A135" i="47" l="1"/>
  <c r="A136" i="47" a="1"/>
  <c r="A136" i="47" l="1"/>
  <c r="A137" i="47" a="1"/>
  <c r="A137" i="47" l="1"/>
  <c r="A140" i="47" a="1"/>
  <c r="A140" i="47" l="1"/>
  <c r="D142" i="47"/>
  <c r="D150" i="47"/>
  <c r="A143" i="47" a="1"/>
  <c r="A151" i="47" a="1"/>
  <c r="A143" i="47" l="1"/>
  <c r="A151" i="47"/>
  <c r="A154" i="47" a="1"/>
  <c r="A154" i="47" l="1"/>
  <c r="D155" i="47"/>
  <c r="A161" i="47" a="1"/>
  <c r="A161" i="47" l="1"/>
  <c r="D162" i="47"/>
  <c r="D163" i="47"/>
  <c r="A164" i="47" a="1"/>
  <c r="A164" i="47" l="1"/>
  <c r="F164" i="47"/>
  <c r="G164" i="47"/>
  <c r="H164" i="47"/>
  <c r="I164" i="47"/>
  <c r="J164" i="47"/>
  <c r="K164" i="47"/>
  <c r="L164" i="47"/>
  <c r="M164" i="47"/>
  <c r="N164" i="47"/>
  <c r="O164" i="47"/>
  <c r="F167" i="47"/>
  <c r="G167" i="47"/>
  <c r="D169" i="47"/>
  <c r="A180" i="47"/>
  <c r="G182" i="47"/>
  <c r="H182" i="47" s="1"/>
  <c r="I182" i="47" s="1"/>
  <c r="J182" i="47" s="1"/>
  <c r="K182" i="47" s="1"/>
  <c r="L182" i="47" s="1"/>
  <c r="M182" i="47" s="1"/>
  <c r="N182" i="47" s="1"/>
  <c r="O182" i="47" s="1"/>
  <c r="A184" i="47" a="1"/>
  <c r="A167" i="47" a="1"/>
  <c r="D164" i="47" l="1"/>
  <c r="D181" i="47"/>
  <c r="A167" i="47"/>
  <c r="A184" i="47"/>
  <c r="B15" i="47"/>
  <c r="S3" i="48"/>
  <c r="T3" i="48" s="1"/>
  <c r="U3" i="48" s="1"/>
  <c r="V3" i="48" s="1"/>
  <c r="W3" i="48" s="1"/>
  <c r="X3" i="48" s="1"/>
  <c r="Y3" i="48" s="1"/>
  <c r="Z3" i="48" s="1"/>
  <c r="AA3" i="48" s="1"/>
  <c r="G3" i="48"/>
  <c r="H3" i="48" s="1"/>
  <c r="I3" i="48" s="1"/>
  <c r="J3" i="48" s="1"/>
  <c r="K3" i="48" s="1"/>
  <c r="L3" i="48" s="1"/>
  <c r="M3" i="48" s="1"/>
  <c r="N3" i="48" s="1"/>
  <c r="O3" i="48" s="1"/>
  <c r="D3" i="48" s="1"/>
  <c r="S2" i="48"/>
  <c r="T2" i="48" s="1"/>
  <c r="U2" i="48" s="1"/>
  <c r="V2" i="48" s="1"/>
  <c r="W2" i="48" s="1"/>
  <c r="X2" i="48" s="1"/>
  <c r="Y2" i="48" s="1"/>
  <c r="Z2" i="48" s="1"/>
  <c r="AA2" i="48" s="1"/>
  <c r="A2" i="48"/>
  <c r="G3" i="47"/>
  <c r="H3" i="47" s="1"/>
  <c r="I3" i="47" s="1"/>
  <c r="J3" i="47" s="1"/>
  <c r="K3" i="47" s="1"/>
  <c r="L3" i="47" s="1"/>
  <c r="M3" i="47" s="1"/>
  <c r="N3" i="47" s="1"/>
  <c r="O3" i="47" s="1"/>
  <c r="A2" i="47"/>
  <c r="K26" i="41"/>
  <c r="J26" i="41"/>
  <c r="I26" i="41"/>
  <c r="H26" i="41"/>
  <c r="G26" i="41"/>
  <c r="F26" i="41"/>
  <c r="E26" i="41"/>
  <c r="D26" i="41"/>
  <c r="C26" i="41"/>
  <c r="L26" i="41"/>
  <c r="M29" i="41"/>
  <c r="M28" i="41"/>
  <c r="M27" i="41"/>
  <c r="S3" i="42"/>
  <c r="T3" i="42" s="1"/>
  <c r="U3" i="42" s="1"/>
  <c r="V3" i="42" s="1"/>
  <c r="W3" i="42" s="1"/>
  <c r="X3" i="42" s="1"/>
  <c r="Y3" i="42" s="1"/>
  <c r="Z3" i="42" s="1"/>
  <c r="AA3" i="42" s="1"/>
  <c r="G3" i="42"/>
  <c r="H3" i="42" s="1"/>
  <c r="I3" i="42" s="1"/>
  <c r="J3" i="42" s="1"/>
  <c r="K3" i="42" s="1"/>
  <c r="L3" i="42" s="1"/>
  <c r="M3" i="42" s="1"/>
  <c r="N3" i="42" s="1"/>
  <c r="O3" i="42" s="1"/>
  <c r="S2" i="42"/>
  <c r="T2" i="42" s="1"/>
  <c r="U2" i="42" s="1"/>
  <c r="V2" i="42" s="1"/>
  <c r="W2" i="42" s="1"/>
  <c r="X2" i="42" s="1"/>
  <c r="Y2" i="42" s="1"/>
  <c r="Z2" i="42" s="1"/>
  <c r="AA2" i="42" s="1"/>
  <c r="A2" i="42"/>
  <c r="O25" i="25"/>
  <c r="N25" i="25"/>
  <c r="M25" i="25"/>
  <c r="L25" i="25"/>
  <c r="K25" i="25"/>
  <c r="J25" i="25"/>
  <c r="I25" i="25"/>
  <c r="H25" i="25"/>
  <c r="G25" i="25"/>
  <c r="O24" i="25"/>
  <c r="N24" i="25"/>
  <c r="M24" i="25"/>
  <c r="L24" i="25"/>
  <c r="K24" i="25"/>
  <c r="J24" i="25"/>
  <c r="I24" i="25"/>
  <c r="H24" i="25"/>
  <c r="G24" i="25"/>
  <c r="F25" i="25"/>
  <c r="F24" i="25"/>
  <c r="O12" i="25"/>
  <c r="N12" i="25"/>
  <c r="M12" i="25"/>
  <c r="L12" i="25"/>
  <c r="K12" i="25"/>
  <c r="J12" i="25"/>
  <c r="I12" i="25"/>
  <c r="H12" i="25"/>
  <c r="G12" i="25"/>
  <c r="O11" i="25"/>
  <c r="N11" i="25"/>
  <c r="M11" i="25"/>
  <c r="L11" i="25"/>
  <c r="K11" i="25"/>
  <c r="J11" i="25"/>
  <c r="I11" i="25"/>
  <c r="H11" i="25"/>
  <c r="G11" i="25"/>
  <c r="F12" i="25"/>
  <c r="F11" i="25"/>
  <c r="P70" i="41" a="1"/>
  <c r="A6" i="25" a="1"/>
  <c r="P98" i="41" a="1"/>
  <c r="A14" i="22" a="1"/>
  <c r="A13" i="15" a="1"/>
  <c r="A8" i="42" a="1"/>
  <c r="B12" i="2" a="1"/>
  <c r="A11" i="42" a="1"/>
  <c r="P17" i="41" a="1"/>
  <c r="A20" i="25" a="1"/>
  <c r="A15" i="22" a="1"/>
  <c r="A22" i="14" a="1"/>
  <c r="B10" i="2" a="1"/>
  <c r="B9" i="2" a="1"/>
  <c r="A10" i="42" a="1"/>
  <c r="P97" i="41" a="1"/>
  <c r="A9" i="42" a="1"/>
  <c r="A7" i="42" a="1"/>
  <c r="B44" i="2" a="1"/>
  <c r="A5" i="16" a="1"/>
  <c r="I23" i="25" l="1"/>
  <c r="M26" i="41"/>
  <c r="J23" i="25"/>
  <c r="K23" i="25"/>
  <c r="M23" i="25"/>
  <c r="N10" i="25"/>
  <c r="N23" i="25"/>
  <c r="O10" i="25"/>
  <c r="G23" i="25"/>
  <c r="L23" i="25"/>
  <c r="H23" i="25"/>
  <c r="H10" i="25"/>
  <c r="O23" i="25"/>
  <c r="F23" i="25"/>
  <c r="B10" i="2"/>
  <c r="B9" i="2"/>
  <c r="D3" i="47"/>
  <c r="B44" i="2"/>
  <c r="A15" i="22"/>
  <c r="A14" i="22"/>
  <c r="A5" i="16"/>
  <c r="A13" i="15"/>
  <c r="A22" i="14"/>
  <c r="B12" i="2"/>
  <c r="P70" i="41"/>
  <c r="A11" i="42"/>
  <c r="A10" i="42"/>
  <c r="A9" i="42"/>
  <c r="A8" i="42"/>
  <c r="A7" i="42"/>
  <c r="D3" i="42"/>
  <c r="P98" i="41"/>
  <c r="P97" i="41"/>
  <c r="P17" i="41"/>
  <c r="J10" i="25"/>
  <c r="A20" i="25"/>
  <c r="F10" i="25"/>
  <c r="K10" i="25"/>
  <c r="L10" i="25"/>
  <c r="M10" i="25"/>
  <c r="I10" i="25"/>
  <c r="G10" i="25"/>
  <c r="A6" i="25"/>
  <c r="W37" i="13"/>
  <c r="V37" i="13"/>
  <c r="U37" i="13"/>
  <c r="P37" i="13"/>
  <c r="O37" i="13"/>
  <c r="N37" i="13"/>
  <c r="M37" i="13"/>
  <c r="L37" i="13"/>
  <c r="K37" i="13"/>
  <c r="J37" i="13"/>
  <c r="I37" i="13"/>
  <c r="H37" i="13"/>
  <c r="G37" i="13"/>
  <c r="F37" i="13"/>
  <c r="P33" i="13"/>
  <c r="O33" i="13"/>
  <c r="N33" i="13"/>
  <c r="M33" i="13"/>
  <c r="L33" i="13"/>
  <c r="K33" i="13"/>
  <c r="J33" i="13"/>
  <c r="I33" i="13"/>
  <c r="H33" i="13"/>
  <c r="G33" i="13"/>
  <c r="F33" i="13"/>
  <c r="O74" i="6"/>
  <c r="N74" i="6"/>
  <c r="M74" i="6"/>
  <c r="L74" i="6"/>
  <c r="K74" i="6"/>
  <c r="J74" i="6"/>
  <c r="I74" i="6"/>
  <c r="H74" i="6"/>
  <c r="G74" i="6"/>
  <c r="F74" i="6"/>
  <c r="R59" i="26" a="1"/>
  <c r="R59" i="26" s="1"/>
  <c r="Q59" i="26" a="1"/>
  <c r="Q59" i="26" s="1"/>
  <c r="G184" i="47"/>
  <c r="F184" i="47"/>
  <c r="P16" i="41"/>
  <c r="Q16" i="41"/>
  <c r="R16" i="41"/>
  <c r="M110" i="41"/>
  <c r="F74" i="7"/>
  <c r="F73" i="7" s="1"/>
  <c r="G73" i="7" s="1"/>
  <c r="H73" i="7" s="1"/>
  <c r="I73" i="7" s="1"/>
  <c r="J73" i="7" s="1"/>
  <c r="K73" i="7" s="1"/>
  <c r="L73" i="7" s="1"/>
  <c r="M73" i="7" s="1"/>
  <c r="N73" i="7" s="1"/>
  <c r="O73" i="7" s="1"/>
  <c r="L81" i="41" s="1"/>
  <c r="F9" i="15"/>
  <c r="D82" i="41"/>
  <c r="E82" i="41"/>
  <c r="F82" i="41"/>
  <c r="G82" i="41"/>
  <c r="H82" i="41"/>
  <c r="I82" i="41"/>
  <c r="J82" i="41"/>
  <c r="K82" i="41"/>
  <c r="L82" i="41"/>
  <c r="A74" i="6" a="1"/>
  <c r="Q19" i="41" a="1"/>
  <c r="Q20" i="41" a="1"/>
  <c r="P81" i="41" a="1"/>
  <c r="P5" i="41" a="1"/>
  <c r="A66" i="6" a="1"/>
  <c r="P18" i="41" a="1"/>
  <c r="Q5" i="41" a="1"/>
  <c r="A68" i="6" a="1"/>
  <c r="P20" i="41" a="1"/>
  <c r="Q17" i="41" a="1"/>
  <c r="P45" i="41" a="1"/>
  <c r="P32" i="41" a="1"/>
  <c r="A73" i="6" a="1"/>
  <c r="P19" i="41" a="1"/>
  <c r="P51" i="41" a="1"/>
  <c r="P10" i="41" a="1"/>
  <c r="P42" i="41" a="1"/>
  <c r="A75" i="6" a="1"/>
  <c r="A69" i="6" a="1"/>
  <c r="A76" i="6" a="1"/>
  <c r="A30" i="32" a="1"/>
  <c r="P34" i="41" a="1"/>
  <c r="P33" i="41" a="1"/>
  <c r="P62" i="41" a="1"/>
  <c r="Q18" i="41" a="1"/>
  <c r="P82" i="41" a="1"/>
  <c r="C82" i="41" l="1"/>
  <c r="D33" i="41"/>
  <c r="D96" i="41"/>
  <c r="C33" i="41"/>
  <c r="C96" i="41"/>
  <c r="A69" i="6"/>
  <c r="A76" i="6"/>
  <c r="A73" i="6"/>
  <c r="A75" i="6"/>
  <c r="A74" i="6"/>
  <c r="A68" i="6"/>
  <c r="A66" i="6"/>
  <c r="Q5" i="41"/>
  <c r="P5" i="41"/>
  <c r="P42" i="41"/>
  <c r="P45" i="41"/>
  <c r="P51" i="41"/>
  <c r="P62" i="41"/>
  <c r="P82" i="41"/>
  <c r="P81" i="41"/>
  <c r="P32" i="41"/>
  <c r="P33" i="41"/>
  <c r="P10" i="41"/>
  <c r="P34" i="41"/>
  <c r="M43" i="41"/>
  <c r="Q20" i="41"/>
  <c r="Q19" i="41"/>
  <c r="P20" i="41"/>
  <c r="P19" i="41"/>
  <c r="A30" i="32"/>
  <c r="Q18" i="41"/>
  <c r="P18" i="41"/>
  <c r="Q17" i="41"/>
  <c r="E81" i="41"/>
  <c r="P73" i="7"/>
  <c r="G81" i="41"/>
  <c r="J81" i="41"/>
  <c r="F81" i="41"/>
  <c r="D81" i="41"/>
  <c r="C81" i="41"/>
  <c r="K81" i="41"/>
  <c r="I81" i="41"/>
  <c r="H81" i="41"/>
  <c r="B3" i="41" l="1"/>
  <c r="A2" i="6"/>
  <c r="L107" i="41"/>
  <c r="F107" i="41"/>
  <c r="K107" i="41"/>
  <c r="J107" i="41"/>
  <c r="I107" i="41"/>
  <c r="H107" i="41"/>
  <c r="E107" i="41"/>
  <c r="D107" i="41"/>
  <c r="C107" i="41"/>
  <c r="M52" i="41"/>
  <c r="P3" i="41" a="1"/>
  <c r="P3" i="41" l="1"/>
  <c r="G107" i="41"/>
  <c r="M107" i="41" s="1"/>
  <c r="M50" i="41" l="1"/>
  <c r="O33" i="19" l="1"/>
  <c r="N33" i="19"/>
  <c r="M33" i="19"/>
  <c r="L33" i="19"/>
  <c r="K33" i="19"/>
  <c r="J33" i="19"/>
  <c r="I33" i="19"/>
  <c r="H33" i="19"/>
  <c r="G33" i="19"/>
  <c r="F33" i="19"/>
  <c r="O32" i="19"/>
  <c r="N32" i="19"/>
  <c r="M32" i="19"/>
  <c r="L32" i="19"/>
  <c r="K32" i="19"/>
  <c r="J32" i="19"/>
  <c r="I32" i="19"/>
  <c r="H32" i="19"/>
  <c r="G32" i="19"/>
  <c r="F32" i="19"/>
  <c r="B37" i="2" a="1"/>
  <c r="B38" i="2" a="1"/>
  <c r="B33" i="2" a="1"/>
  <c r="B32" i="2" a="1"/>
  <c r="B28" i="2" a="1"/>
  <c r="A32" i="19" a="1"/>
  <c r="A28" i="19" a="1"/>
  <c r="B36" i="2" a="1"/>
  <c r="A33" i="19" a="1"/>
  <c r="B27" i="2" a="1"/>
  <c r="B39" i="2" a="1"/>
  <c r="B34" i="2" a="1"/>
  <c r="B30" i="2" a="1"/>
  <c r="B29" i="2" a="1"/>
  <c r="N31" i="19" l="1"/>
  <c r="N60" i="19" s="1"/>
  <c r="H31" i="19"/>
  <c r="H60" i="19" s="1"/>
  <c r="G31" i="19"/>
  <c r="G60" i="19" s="1"/>
  <c r="L31" i="19"/>
  <c r="L60" i="19" s="1"/>
  <c r="J31" i="19"/>
  <c r="J60" i="19" s="1"/>
  <c r="B30" i="2"/>
  <c r="B29" i="2"/>
  <c r="B39" i="2"/>
  <c r="B38" i="2"/>
  <c r="B37" i="2"/>
  <c r="B34" i="2"/>
  <c r="B33" i="2"/>
  <c r="B32" i="2"/>
  <c r="B27" i="2"/>
  <c r="B28" i="2"/>
  <c r="B36" i="2"/>
  <c r="I31" i="19"/>
  <c r="I60" i="19" s="1"/>
  <c r="M31" i="19"/>
  <c r="M60" i="19" s="1"/>
  <c r="O31" i="19"/>
  <c r="O60" i="19" s="1"/>
  <c r="K31" i="19"/>
  <c r="K60" i="19" s="1"/>
  <c r="F31" i="19"/>
  <c r="F60" i="19" s="1"/>
  <c r="A33" i="19"/>
  <c r="A32" i="19"/>
  <c r="A28" i="19"/>
  <c r="D32" i="19"/>
  <c r="S3" i="32"/>
  <c r="S2" i="32"/>
  <c r="S3" i="12"/>
  <c r="S2" i="12"/>
  <c r="S3" i="31"/>
  <c r="S2" i="31"/>
  <c r="S3" i="29"/>
  <c r="S2" i="29"/>
  <c r="S3" i="28"/>
  <c r="S2" i="28"/>
  <c r="S3" i="26"/>
  <c r="S2" i="26"/>
  <c r="S3" i="36"/>
  <c r="S2" i="36"/>
  <c r="S3" i="25"/>
  <c r="S2" i="25"/>
  <c r="S3" i="22"/>
  <c r="S2" i="22"/>
  <c r="S3" i="9"/>
  <c r="S2" i="9"/>
  <c r="S3" i="10"/>
  <c r="S2" i="10"/>
  <c r="S3" i="11"/>
  <c r="S2" i="11"/>
  <c r="S3" i="24"/>
  <c r="S2" i="24"/>
  <c r="S3" i="23"/>
  <c r="S2" i="23"/>
  <c r="S3" i="20"/>
  <c r="S2" i="20"/>
  <c r="S3" i="21"/>
  <c r="S2" i="21"/>
  <c r="U3" i="19"/>
  <c r="V3" i="19" s="1"/>
  <c r="U2" i="19"/>
  <c r="V2" i="19" s="1"/>
  <c r="U3" i="15"/>
  <c r="U2" i="15"/>
  <c r="U3" i="18" a="1"/>
  <c r="U3" i="18" s="1"/>
  <c r="U2" i="18"/>
  <c r="U3" i="16"/>
  <c r="U2" i="16"/>
  <c r="U2" i="17"/>
  <c r="U3" i="17"/>
  <c r="A71" i="6" a="1"/>
  <c r="B23" i="2" a="1"/>
  <c r="D60" i="19" l="1"/>
  <c r="D31" i="19"/>
  <c r="A71" i="6"/>
  <c r="B23" i="2"/>
  <c r="F2" i="37"/>
  <c r="A2" i="37"/>
  <c r="T2" i="36"/>
  <c r="U2" i="36" s="1"/>
  <c r="V2" i="36" s="1"/>
  <c r="W2" i="36" s="1"/>
  <c r="X2" i="36" s="1"/>
  <c r="Y2" i="36" s="1"/>
  <c r="Z2" i="36" s="1"/>
  <c r="AA2" i="36" s="1"/>
  <c r="A2" i="36"/>
  <c r="B50" i="2" a="1"/>
  <c r="C36" i="37" a="1"/>
  <c r="C28" i="37" a="1"/>
  <c r="C30" i="37" a="1"/>
  <c r="C6" i="37" a="1"/>
  <c r="C18" i="37" a="1"/>
  <c r="C16" i="37" a="1"/>
  <c r="C8" i="37" a="1"/>
  <c r="C12" i="37" a="1"/>
  <c r="C22" i="37" a="1"/>
  <c r="C26" i="37" a="1"/>
  <c r="C32" i="37" a="1"/>
  <c r="C20" i="37" a="1"/>
  <c r="C10" i="37" a="1"/>
  <c r="C24" i="37" a="1"/>
  <c r="C34" i="37" a="1"/>
  <c r="C14" i="37" a="1"/>
  <c r="B51" i="2" a="1"/>
  <c r="C36" i="37" l="1"/>
  <c r="C34" i="37"/>
  <c r="C32" i="37"/>
  <c r="C30" i="37"/>
  <c r="C28" i="37"/>
  <c r="C26" i="37"/>
  <c r="C24" i="37"/>
  <c r="C22" i="37"/>
  <c r="C20" i="37"/>
  <c r="B50" i="2"/>
  <c r="C18" i="37"/>
  <c r="C16" i="37"/>
  <c r="C6" i="37"/>
  <c r="C8" i="37"/>
  <c r="C10" i="37"/>
  <c r="C12" i="37"/>
  <c r="C14" i="37"/>
  <c r="B51" i="2"/>
  <c r="G3" i="36"/>
  <c r="H3" i="36" s="1"/>
  <c r="I3" i="36" s="1"/>
  <c r="J3" i="36" s="1"/>
  <c r="K3" i="36" s="1"/>
  <c r="L3" i="36" s="1"/>
  <c r="M3" i="36" s="1"/>
  <c r="N3" i="36" s="1"/>
  <c r="O3" i="36" s="1"/>
  <c r="T3" i="36" s="1"/>
  <c r="U3" i="36" s="1"/>
  <c r="V3" i="36" s="1"/>
  <c r="W3" i="36" s="1"/>
  <c r="X3" i="36" s="1"/>
  <c r="Y3" i="36" s="1"/>
  <c r="Z3" i="36" s="1"/>
  <c r="AA3" i="36" s="1"/>
  <c r="D3" i="36" l="1"/>
  <c r="A2" i="33"/>
  <c r="A29" i="32" a="1"/>
  <c r="A29" i="32" l="1"/>
  <c r="T2" i="32"/>
  <c r="U2" i="32" s="1"/>
  <c r="V2" i="32" s="1"/>
  <c r="W2" i="32" s="1"/>
  <c r="X2" i="32" s="1"/>
  <c r="Y2" i="32" s="1"/>
  <c r="Z2" i="32" s="1"/>
  <c r="AA2" i="32" s="1"/>
  <c r="A2" i="32"/>
  <c r="D23" i="28"/>
  <c r="D23" i="11"/>
  <c r="O31" i="31"/>
  <c r="N31" i="31"/>
  <c r="M31" i="31"/>
  <c r="L31" i="31"/>
  <c r="K31" i="31"/>
  <c r="J31" i="31"/>
  <c r="I31" i="31"/>
  <c r="H31" i="31"/>
  <c r="G31" i="31"/>
  <c r="F31" i="31"/>
  <c r="G3" i="31"/>
  <c r="H3" i="31" s="1"/>
  <c r="I3" i="31" s="1"/>
  <c r="J3" i="31" s="1"/>
  <c r="K3" i="31" s="1"/>
  <c r="L3" i="31" s="1"/>
  <c r="M3" i="31" s="1"/>
  <c r="N3" i="31" s="1"/>
  <c r="O3" i="31" s="1"/>
  <c r="T3" i="31" s="1"/>
  <c r="U3" i="31" s="1"/>
  <c r="V3" i="31" s="1"/>
  <c r="W3" i="31" s="1"/>
  <c r="X3" i="31" s="1"/>
  <c r="Y3" i="31" s="1"/>
  <c r="Z3" i="31" s="1"/>
  <c r="AA3" i="31" s="1"/>
  <c r="T2" i="31"/>
  <c r="U2" i="31" s="1"/>
  <c r="V2" i="31" s="1"/>
  <c r="W2" i="31" s="1"/>
  <c r="X2" i="31" s="1"/>
  <c r="Y2" i="31" s="1"/>
  <c r="Z2" i="31" s="1"/>
  <c r="AA2" i="31" s="1"/>
  <c r="A2" i="31"/>
  <c r="G16" i="14"/>
  <c r="G94" i="47" s="1"/>
  <c r="F16" i="14"/>
  <c r="F94" i="47" s="1"/>
  <c r="F10" i="14"/>
  <c r="O67" i="14"/>
  <c r="N67" i="14"/>
  <c r="M67" i="14"/>
  <c r="L67" i="14"/>
  <c r="K67" i="14"/>
  <c r="J67" i="14"/>
  <c r="I67" i="14"/>
  <c r="H67" i="14"/>
  <c r="G67" i="14"/>
  <c r="F67" i="14"/>
  <c r="O48" i="14"/>
  <c r="N48" i="14"/>
  <c r="M48" i="14"/>
  <c r="L48" i="14"/>
  <c r="K48" i="14"/>
  <c r="J48" i="14"/>
  <c r="I48" i="14"/>
  <c r="H48" i="14"/>
  <c r="G48" i="14"/>
  <c r="F48" i="14"/>
  <c r="F31" i="14"/>
  <c r="G31" i="14"/>
  <c r="H31" i="14"/>
  <c r="I31" i="14"/>
  <c r="J31" i="14"/>
  <c r="K31" i="14"/>
  <c r="L31" i="14"/>
  <c r="M31" i="14"/>
  <c r="N31" i="14"/>
  <c r="O31" i="14"/>
  <c r="A7" i="26" a="1"/>
  <c r="A7" i="31" a="1"/>
  <c r="A27" i="31" a="1"/>
  <c r="A67" i="14" a="1"/>
  <c r="A19" i="31" a="1"/>
  <c r="A25" i="31" a="1"/>
  <c r="A10" i="11" a="1"/>
  <c r="A24" i="31" a="1"/>
  <c r="A7" i="9" a="1"/>
  <c r="A31" i="14" a="1"/>
  <c r="A48" i="14" a="1"/>
  <c r="F10" i="11" l="1"/>
  <c r="G10" i="11"/>
  <c r="G3" i="32"/>
  <c r="H3" i="32" s="1"/>
  <c r="I3" i="32" s="1"/>
  <c r="J3" i="32" s="1"/>
  <c r="K3" i="32" s="1"/>
  <c r="L3" i="32" s="1"/>
  <c r="M3" i="32" s="1"/>
  <c r="N3" i="32" s="1"/>
  <c r="O3" i="32" s="1"/>
  <c r="T3" i="32" s="1"/>
  <c r="U3" i="32" s="1"/>
  <c r="V3" i="32" s="1"/>
  <c r="W3" i="32" s="1"/>
  <c r="X3" i="32" s="1"/>
  <c r="Y3" i="32" s="1"/>
  <c r="Z3" i="32" s="1"/>
  <c r="AA3" i="32" s="1"/>
  <c r="A7" i="26"/>
  <c r="A7" i="9"/>
  <c r="A25" i="31"/>
  <c r="A19" i="31"/>
  <c r="A27" i="31"/>
  <c r="A7" i="31"/>
  <c r="A24" i="31"/>
  <c r="A10" i="11"/>
  <c r="A67" i="14"/>
  <c r="A48" i="14"/>
  <c r="A31" i="14"/>
  <c r="D3" i="32" l="1"/>
  <c r="A31" i="12" a="1"/>
  <c r="A31" i="12" l="1"/>
  <c r="B5" i="2" l="1" a="1"/>
  <c r="B5" i="2" s="1"/>
  <c r="AE45" i="7"/>
  <c r="AE63" i="7"/>
  <c r="AE39" i="7"/>
  <c r="A20" i="11" a="1"/>
  <c r="A27" i="9" a="1"/>
  <c r="A20" i="11" l="1"/>
  <c r="A27" i="9"/>
  <c r="D50" i="29" l="1"/>
  <c r="G48" i="29"/>
  <c r="F48" i="29"/>
  <c r="O45" i="29"/>
  <c r="N45" i="29"/>
  <c r="M45" i="29"/>
  <c r="L45" i="29"/>
  <c r="K45" i="29"/>
  <c r="J45" i="29"/>
  <c r="I45" i="29"/>
  <c r="H45" i="29"/>
  <c r="G45" i="29"/>
  <c r="F45" i="29"/>
  <c r="D44" i="29"/>
  <c r="D43" i="29"/>
  <c r="D36" i="29"/>
  <c r="D31" i="29"/>
  <c r="D23" i="29"/>
  <c r="D19" i="29"/>
  <c r="T2" i="29"/>
  <c r="U2" i="29" s="1"/>
  <c r="V2" i="29" s="1"/>
  <c r="W2" i="29" s="1"/>
  <c r="X2" i="29" s="1"/>
  <c r="Y2" i="29" s="1"/>
  <c r="Z2" i="29" s="1"/>
  <c r="AA2" i="29" s="1"/>
  <c r="A2" i="29"/>
  <c r="D19" i="28"/>
  <c r="T2" i="28"/>
  <c r="U2" i="28" s="1"/>
  <c r="V2" i="28" s="1"/>
  <c r="W2" i="28" s="1"/>
  <c r="X2" i="28" s="1"/>
  <c r="Y2" i="28" s="1"/>
  <c r="Z2" i="28" s="1"/>
  <c r="AA2" i="28" s="1"/>
  <c r="A2" i="28"/>
  <c r="A2" i="27"/>
  <c r="O36" i="15"/>
  <c r="N36" i="15"/>
  <c r="M36" i="15"/>
  <c r="L36" i="15"/>
  <c r="K36" i="15"/>
  <c r="J36" i="15"/>
  <c r="I36" i="15"/>
  <c r="H36" i="15"/>
  <c r="G36" i="15"/>
  <c r="F36" i="15"/>
  <c r="F23" i="15"/>
  <c r="G23" i="15"/>
  <c r="H23" i="15"/>
  <c r="I23" i="15"/>
  <c r="J23" i="15"/>
  <c r="K23" i="15"/>
  <c r="L23" i="15"/>
  <c r="M23" i="15"/>
  <c r="N23" i="15"/>
  <c r="O23" i="15"/>
  <c r="O12" i="26"/>
  <c r="N12" i="26"/>
  <c r="M12" i="26"/>
  <c r="L12" i="26"/>
  <c r="K12" i="26"/>
  <c r="J12" i="26"/>
  <c r="I12" i="26"/>
  <c r="H12" i="26"/>
  <c r="G12" i="26"/>
  <c r="O18" i="26"/>
  <c r="N18" i="26"/>
  <c r="M18" i="26"/>
  <c r="L18" i="26"/>
  <c r="K18" i="26"/>
  <c r="J18" i="26"/>
  <c r="I18" i="26"/>
  <c r="H18" i="26"/>
  <c r="G18" i="26"/>
  <c r="F18" i="26"/>
  <c r="F12" i="26"/>
  <c r="T2" i="26"/>
  <c r="U2" i="26" s="1"/>
  <c r="V2" i="26" s="1"/>
  <c r="W2" i="26" s="1"/>
  <c r="X2" i="26" s="1"/>
  <c r="Y2" i="26" s="1"/>
  <c r="Z2" i="26" s="1"/>
  <c r="AA2" i="26" s="1"/>
  <c r="A2" i="26"/>
  <c r="T2" i="25"/>
  <c r="U2" i="25" s="1"/>
  <c r="V2" i="25" s="1"/>
  <c r="W2" i="25" s="1"/>
  <c r="X2" i="25" s="1"/>
  <c r="Y2" i="25" s="1"/>
  <c r="Z2" i="25" s="1"/>
  <c r="AA2" i="25" s="1"/>
  <c r="A2" i="25"/>
  <c r="D10" i="24"/>
  <c r="D9" i="24"/>
  <c r="D8" i="24"/>
  <c r="D7" i="24"/>
  <c r="D6" i="24"/>
  <c r="O5" i="24"/>
  <c r="O148" i="6" s="1"/>
  <c r="N5" i="24"/>
  <c r="M5" i="24"/>
  <c r="L5" i="24"/>
  <c r="K5" i="24"/>
  <c r="J5" i="24"/>
  <c r="I5" i="24"/>
  <c r="H5" i="24"/>
  <c r="H148" i="6" s="1"/>
  <c r="G5" i="24"/>
  <c r="G148" i="6" s="1"/>
  <c r="F5" i="24"/>
  <c r="F148" i="6" s="1"/>
  <c r="G3" i="24"/>
  <c r="H3" i="24" s="1"/>
  <c r="I3" i="24" s="1"/>
  <c r="J3" i="24" s="1"/>
  <c r="K3" i="24" s="1"/>
  <c r="L3" i="24" s="1"/>
  <c r="M3" i="24" s="1"/>
  <c r="N3" i="24" s="1"/>
  <c r="O3" i="24" s="1"/>
  <c r="T3" i="24" s="1"/>
  <c r="U3" i="24" s="1"/>
  <c r="V3" i="24" s="1"/>
  <c r="W3" i="24" s="1"/>
  <c r="X3" i="24" s="1"/>
  <c r="Y3" i="24" s="1"/>
  <c r="Z3" i="24" s="1"/>
  <c r="AA3" i="24" s="1"/>
  <c r="T2" i="24"/>
  <c r="U2" i="24" s="1"/>
  <c r="V2" i="24" s="1"/>
  <c r="W2" i="24" s="1"/>
  <c r="X2" i="24" s="1"/>
  <c r="Y2" i="24" s="1"/>
  <c r="Z2" i="24" s="1"/>
  <c r="AA2" i="24" s="1"/>
  <c r="A2" i="24"/>
  <c r="D10" i="23"/>
  <c r="D9" i="23"/>
  <c r="D8" i="23"/>
  <c r="D7" i="23"/>
  <c r="D6" i="23"/>
  <c r="O5" i="23"/>
  <c r="N5" i="23"/>
  <c r="M5" i="23"/>
  <c r="L5" i="23"/>
  <c r="K5" i="23"/>
  <c r="J5" i="23"/>
  <c r="I5" i="23"/>
  <c r="H5" i="23"/>
  <c r="G5" i="23"/>
  <c r="F5" i="23"/>
  <c r="T2" i="23"/>
  <c r="U2" i="23" s="1"/>
  <c r="V2" i="23" s="1"/>
  <c r="W2" i="23" s="1"/>
  <c r="X2" i="23" s="1"/>
  <c r="Y2" i="23" s="1"/>
  <c r="Z2" i="23" s="1"/>
  <c r="AA2" i="23" s="1"/>
  <c r="A2" i="23"/>
  <c r="T2" i="22"/>
  <c r="U2" i="22" s="1"/>
  <c r="V2" i="22" s="1"/>
  <c r="W2" i="22" s="1"/>
  <c r="X2" i="22" s="1"/>
  <c r="Y2" i="22" s="1"/>
  <c r="Z2" i="22" s="1"/>
  <c r="AA2" i="22" s="1"/>
  <c r="A2" i="22"/>
  <c r="D24" i="21"/>
  <c r="D23" i="21"/>
  <c r="D22" i="21"/>
  <c r="D21" i="21"/>
  <c r="O19" i="21"/>
  <c r="N19" i="21"/>
  <c r="M19" i="21"/>
  <c r="L19" i="21"/>
  <c r="K19" i="21"/>
  <c r="J19" i="21"/>
  <c r="I19" i="21"/>
  <c r="H19" i="21"/>
  <c r="G19" i="21"/>
  <c r="D17" i="21"/>
  <c r="D16" i="21"/>
  <c r="D15" i="21"/>
  <c r="D10" i="21"/>
  <c r="D9" i="21"/>
  <c r="D8" i="21"/>
  <c r="D7" i="21"/>
  <c r="D6" i="21"/>
  <c r="O5" i="21"/>
  <c r="O122" i="6" s="1"/>
  <c r="N5" i="21"/>
  <c r="N122" i="6" s="1"/>
  <c r="M5" i="21"/>
  <c r="M122" i="6" s="1"/>
  <c r="L5" i="21"/>
  <c r="L122" i="6" s="1"/>
  <c r="K5" i="21"/>
  <c r="K122" i="6" s="1"/>
  <c r="J5" i="21"/>
  <c r="J122" i="6" s="1"/>
  <c r="I5" i="21"/>
  <c r="I122" i="6" s="1"/>
  <c r="H5" i="21"/>
  <c r="H122" i="6" s="1"/>
  <c r="G5" i="21"/>
  <c r="G122" i="6" s="1"/>
  <c r="F5" i="21"/>
  <c r="F122" i="6" s="1"/>
  <c r="O19" i="20"/>
  <c r="N19" i="20"/>
  <c r="M19" i="20"/>
  <c r="L19" i="20"/>
  <c r="K19" i="20"/>
  <c r="J19" i="20"/>
  <c r="I19" i="20"/>
  <c r="H19" i="20"/>
  <c r="G19" i="20"/>
  <c r="F19" i="20"/>
  <c r="D24" i="20"/>
  <c r="D23" i="20"/>
  <c r="D22" i="20"/>
  <c r="D21" i="20"/>
  <c r="D17" i="20"/>
  <c r="D16" i="20"/>
  <c r="D15" i="20"/>
  <c r="O5" i="20"/>
  <c r="O130" i="6" s="1"/>
  <c r="N5" i="20"/>
  <c r="N130" i="6" s="1"/>
  <c r="M5" i="20"/>
  <c r="M130" i="6" s="1"/>
  <c r="L5" i="20"/>
  <c r="L130" i="6" s="1"/>
  <c r="K5" i="20"/>
  <c r="K130" i="6" s="1"/>
  <c r="J5" i="20"/>
  <c r="I5" i="20"/>
  <c r="I130" i="6" s="1"/>
  <c r="H5" i="20"/>
  <c r="H130" i="6" s="1"/>
  <c r="G5" i="20"/>
  <c r="G130" i="6" s="1"/>
  <c r="F5" i="20"/>
  <c r="F130" i="6" s="1"/>
  <c r="D10" i="20"/>
  <c r="D9" i="20"/>
  <c r="D8" i="20"/>
  <c r="D7" i="20"/>
  <c r="D6" i="20"/>
  <c r="T2" i="21"/>
  <c r="U2" i="21" s="1"/>
  <c r="V2" i="21" s="1"/>
  <c r="W2" i="21" s="1"/>
  <c r="X2" i="21" s="1"/>
  <c r="Y2" i="21" s="1"/>
  <c r="Z2" i="21" s="1"/>
  <c r="AA2" i="21" s="1"/>
  <c r="A2" i="21"/>
  <c r="T2" i="20"/>
  <c r="U2" i="20" s="1"/>
  <c r="V2" i="20" s="1"/>
  <c r="W2" i="20" s="1"/>
  <c r="X2" i="20" s="1"/>
  <c r="Y2" i="20" s="1"/>
  <c r="Z2" i="20" s="1"/>
  <c r="AA2" i="20" s="1"/>
  <c r="A2" i="20"/>
  <c r="O45" i="19"/>
  <c r="N45" i="19"/>
  <c r="M45" i="19"/>
  <c r="L45" i="19"/>
  <c r="K45" i="19"/>
  <c r="J45" i="19"/>
  <c r="I45" i="19"/>
  <c r="H45" i="19"/>
  <c r="G45" i="19"/>
  <c r="F46" i="19"/>
  <c r="F45" i="19"/>
  <c r="O40" i="19"/>
  <c r="N40" i="19"/>
  <c r="M40" i="19"/>
  <c r="L40" i="19"/>
  <c r="K40" i="19"/>
  <c r="J40" i="19"/>
  <c r="I40" i="19"/>
  <c r="H40" i="19"/>
  <c r="G40" i="19"/>
  <c r="F41" i="19"/>
  <c r="F40" i="19"/>
  <c r="O36" i="19"/>
  <c r="N36" i="19"/>
  <c r="M36" i="19"/>
  <c r="L36" i="19"/>
  <c r="K36" i="19"/>
  <c r="J36" i="19"/>
  <c r="I36" i="19"/>
  <c r="H36" i="19"/>
  <c r="G36" i="19"/>
  <c r="G95" i="13"/>
  <c r="H95" i="13" s="1"/>
  <c r="G93" i="13"/>
  <c r="G29" i="19" s="1"/>
  <c r="F36" i="19"/>
  <c r="F37" i="19"/>
  <c r="O24" i="19"/>
  <c r="N24" i="19"/>
  <c r="M24" i="19"/>
  <c r="L24" i="19"/>
  <c r="K24" i="19"/>
  <c r="J24" i="19"/>
  <c r="I24" i="19"/>
  <c r="H24" i="19"/>
  <c r="G24" i="19"/>
  <c r="F25" i="19"/>
  <c r="F24" i="19"/>
  <c r="F29" i="19"/>
  <c r="G92" i="13"/>
  <c r="G25" i="19" s="1"/>
  <c r="A12" i="26" a="1"/>
  <c r="A21" i="28" a="1"/>
  <c r="A16" i="28" a="1"/>
  <c r="A23" i="15" a="1"/>
  <c r="A10" i="28" a="1"/>
  <c r="A48" i="29" a="1"/>
  <c r="A11" i="22" a="1"/>
  <c r="A8" i="28" a="1"/>
  <c r="A25" i="19" a="1"/>
  <c r="A13" i="29" a="1"/>
  <c r="A12" i="15" a="1"/>
  <c r="A10" i="25" a="1"/>
  <c r="A15" i="28" a="1"/>
  <c r="A32" i="29" a="1"/>
  <c r="A7" i="28" a="1"/>
  <c r="A45" i="19" a="1"/>
  <c r="A38" i="28" a="1"/>
  <c r="A25" i="29" a="1"/>
  <c r="A36" i="19" a="1"/>
  <c r="A41" i="19" a="1"/>
  <c r="A42" i="29" a="1"/>
  <c r="A24" i="28" a="1"/>
  <c r="A9" i="11" a="1"/>
  <c r="A12" i="29" a="1"/>
  <c r="A13" i="22" a="1"/>
  <c r="A36" i="15" a="1"/>
  <c r="A40" i="19" a="1"/>
  <c r="A21" i="11" a="1"/>
  <c r="A18" i="29" a="1"/>
  <c r="A22" i="29" a="1"/>
  <c r="A24" i="19" a="1"/>
  <c r="A8" i="29" a="1"/>
  <c r="A29" i="19" a="1"/>
  <c r="A15" i="10" a="1"/>
  <c r="A15" i="29" a="1"/>
  <c r="A18" i="10" a="1"/>
  <c r="A37" i="19" a="1"/>
  <c r="A23" i="25" a="1"/>
  <c r="A16" i="11" a="1"/>
  <c r="B31" i="2" a="1"/>
  <c r="A17" i="29" a="1"/>
  <c r="A12" i="22" a="1"/>
  <c r="A24" i="10" a="1"/>
  <c r="A24" i="29" a="1"/>
  <c r="A27" i="28" a="1"/>
  <c r="A35" i="29" a="1"/>
  <c r="A21" i="29" a="1"/>
  <c r="A9" i="29" a="1"/>
  <c r="A45" i="29" a="1"/>
  <c r="A16" i="29" a="1"/>
  <c r="A22" i="10" a="1"/>
  <c r="A20" i="28" a="1"/>
  <c r="A11" i="11" a="1"/>
  <c r="A21" i="10" a="1"/>
  <c r="A6" i="22" a="1"/>
  <c r="A5" i="28" a="1"/>
  <c r="A20" i="29" a="1"/>
  <c r="A14" i="29" a="1"/>
  <c r="A22" i="28" a="1"/>
  <c r="A46" i="19" a="1"/>
  <c r="A11" i="28" a="1"/>
  <c r="A9" i="28" a="1"/>
  <c r="D122" i="6" l="1"/>
  <c r="K24" i="10"/>
  <c r="K150" i="6" s="1"/>
  <c r="K148" i="6"/>
  <c r="G9" i="29"/>
  <c r="G171" i="6"/>
  <c r="G143" i="6"/>
  <c r="H171" i="6"/>
  <c r="H143" i="6"/>
  <c r="N22" i="11"/>
  <c r="N149" i="6" s="1"/>
  <c r="N148" i="6"/>
  <c r="J16" i="28"/>
  <c r="J130" i="6"/>
  <c r="D130" i="6" s="1"/>
  <c r="F171" i="6"/>
  <c r="F143" i="6"/>
  <c r="M22" i="11"/>
  <c r="M149" i="6" s="1"/>
  <c r="M148" i="6"/>
  <c r="I143" i="6"/>
  <c r="I171" i="6"/>
  <c r="J171" i="6"/>
  <c r="J143" i="6"/>
  <c r="K171" i="6"/>
  <c r="K143" i="6"/>
  <c r="K24" i="29"/>
  <c r="L24" i="10"/>
  <c r="L150" i="6" s="1"/>
  <c r="L148" i="6"/>
  <c r="L21" i="11"/>
  <c r="L171" i="6"/>
  <c r="L143" i="6"/>
  <c r="M143" i="6"/>
  <c r="M171" i="6"/>
  <c r="N171" i="6"/>
  <c r="N143" i="6"/>
  <c r="O143" i="6"/>
  <c r="O171" i="6"/>
  <c r="I22" i="28"/>
  <c r="I148" i="6"/>
  <c r="D148" i="6" s="1"/>
  <c r="J24" i="10"/>
  <c r="J150" i="6" s="1"/>
  <c r="J148" i="6"/>
  <c r="L24" i="29"/>
  <c r="I12" i="21"/>
  <c r="K22" i="28"/>
  <c r="L22" i="28"/>
  <c r="K22" i="11"/>
  <c r="K149" i="6" s="1"/>
  <c r="L22" i="11"/>
  <c r="L149" i="6" s="1"/>
  <c r="G11" i="11"/>
  <c r="G95" i="47"/>
  <c r="F11" i="11"/>
  <c r="F95" i="47"/>
  <c r="I21" i="28"/>
  <c r="I105" i="47"/>
  <c r="I128" i="47"/>
  <c r="O24" i="29"/>
  <c r="O106" i="47"/>
  <c r="O143" i="47"/>
  <c r="J9" i="29"/>
  <c r="J105" i="47"/>
  <c r="J128" i="47"/>
  <c r="H16" i="28"/>
  <c r="H100" i="47"/>
  <c r="G12" i="20"/>
  <c r="I11" i="11"/>
  <c r="I95" i="47"/>
  <c r="L9" i="29"/>
  <c r="L105" i="47"/>
  <c r="L128" i="47"/>
  <c r="F22" i="28"/>
  <c r="F106" i="47"/>
  <c r="F143" i="47"/>
  <c r="F24" i="10"/>
  <c r="F150" i="6" s="1"/>
  <c r="M24" i="10"/>
  <c r="M150" i="6" s="1"/>
  <c r="N22" i="28"/>
  <c r="I16" i="11"/>
  <c r="I131" i="6" s="1"/>
  <c r="I100" i="47"/>
  <c r="J11" i="11"/>
  <c r="J95" i="47"/>
  <c r="G12" i="21"/>
  <c r="M21" i="28"/>
  <c r="M105" i="47"/>
  <c r="M128" i="47"/>
  <c r="G22" i="28"/>
  <c r="G106" i="47"/>
  <c r="G143" i="47"/>
  <c r="N24" i="10"/>
  <c r="N150" i="6" s="1"/>
  <c r="K9" i="10"/>
  <c r="K105" i="47"/>
  <c r="K128" i="47"/>
  <c r="N21" i="11"/>
  <c r="N105" i="47"/>
  <c r="N128" i="47"/>
  <c r="H24" i="29"/>
  <c r="H106" i="47"/>
  <c r="H143" i="47"/>
  <c r="K11" i="11"/>
  <c r="K95" i="47"/>
  <c r="K16" i="11"/>
  <c r="K131" i="6" s="1"/>
  <c r="K100" i="47"/>
  <c r="L11" i="11"/>
  <c r="L95" i="47"/>
  <c r="O21" i="28"/>
  <c r="O105" i="47"/>
  <c r="O128" i="47"/>
  <c r="I24" i="29"/>
  <c r="I106" i="47"/>
  <c r="I143" i="47"/>
  <c r="H11" i="11"/>
  <c r="H95" i="47"/>
  <c r="J12" i="21"/>
  <c r="J22" i="28"/>
  <c r="J106" i="47"/>
  <c r="J143" i="47"/>
  <c r="L16" i="11"/>
  <c r="L131" i="6" s="1"/>
  <c r="L100" i="47"/>
  <c r="M16" i="11"/>
  <c r="M131" i="6" s="1"/>
  <c r="M100" i="47"/>
  <c r="N11" i="11"/>
  <c r="N95" i="47"/>
  <c r="K106" i="47"/>
  <c r="K143" i="47"/>
  <c r="M11" i="11"/>
  <c r="M95" i="47"/>
  <c r="N16" i="28"/>
  <c r="N100" i="47"/>
  <c r="O11" i="11"/>
  <c r="O95" i="47"/>
  <c r="F21" i="11"/>
  <c r="F105" i="47"/>
  <c r="F128" i="47"/>
  <c r="L106" i="47"/>
  <c r="L143" i="47"/>
  <c r="N9" i="29"/>
  <c r="F16" i="11"/>
  <c r="F131" i="6" s="1"/>
  <c r="F100" i="47"/>
  <c r="G16" i="11"/>
  <c r="G131" i="6" s="1"/>
  <c r="G100" i="47"/>
  <c r="O16" i="28"/>
  <c r="O100" i="47"/>
  <c r="G21" i="11"/>
  <c r="G105" i="47"/>
  <c r="G128" i="47"/>
  <c r="M22" i="28"/>
  <c r="M106" i="47"/>
  <c r="M143" i="47"/>
  <c r="J16" i="11"/>
  <c r="J131" i="6" s="1"/>
  <c r="J100" i="47"/>
  <c r="H21" i="11"/>
  <c r="H105" i="47"/>
  <c r="H128" i="47"/>
  <c r="N24" i="29"/>
  <c r="N106" i="47"/>
  <c r="N143" i="47"/>
  <c r="G9" i="10"/>
  <c r="H22" i="28"/>
  <c r="F15" i="22"/>
  <c r="G15" i="22"/>
  <c r="G14" i="22"/>
  <c r="H14" i="22"/>
  <c r="I15" i="22"/>
  <c r="I14" i="22"/>
  <c r="J14" i="22"/>
  <c r="K14" i="22"/>
  <c r="L15" i="22"/>
  <c r="L14" i="22"/>
  <c r="M15" i="22"/>
  <c r="M14" i="22"/>
  <c r="J15" i="22"/>
  <c r="N15" i="22"/>
  <c r="N14" i="22"/>
  <c r="K15" i="22"/>
  <c r="O15" i="22"/>
  <c r="O14" i="22"/>
  <c r="H15" i="22"/>
  <c r="G23" i="19"/>
  <c r="G58" i="19" s="1"/>
  <c r="G3" i="28"/>
  <c r="H3" i="28" s="1"/>
  <c r="I3" i="28" s="1"/>
  <c r="J3" i="28" s="1"/>
  <c r="K3" i="28" s="1"/>
  <c r="L3" i="28" s="1"/>
  <c r="M3" i="28" s="1"/>
  <c r="N3" i="28" s="1"/>
  <c r="O3" i="28" s="1"/>
  <c r="T3" i="28" s="1"/>
  <c r="U3" i="28" s="1"/>
  <c r="V3" i="28" s="1"/>
  <c r="W3" i="28" s="1"/>
  <c r="X3" i="28" s="1"/>
  <c r="Y3" i="28" s="1"/>
  <c r="Z3" i="28" s="1"/>
  <c r="AA3" i="28" s="1"/>
  <c r="G3" i="26"/>
  <c r="H3" i="26" s="1"/>
  <c r="I3" i="26" s="1"/>
  <c r="J3" i="26" s="1"/>
  <c r="K3" i="26" s="1"/>
  <c r="L3" i="26" s="1"/>
  <c r="M3" i="26" s="1"/>
  <c r="N3" i="26" s="1"/>
  <c r="O3" i="26" s="1"/>
  <c r="D3" i="26" s="1"/>
  <c r="G3" i="25"/>
  <c r="H3" i="25" s="1"/>
  <c r="I3" i="25" s="1"/>
  <c r="J3" i="25" s="1"/>
  <c r="K3" i="25" s="1"/>
  <c r="L3" i="25" s="1"/>
  <c r="M3" i="25" s="1"/>
  <c r="N3" i="25" s="1"/>
  <c r="O3" i="25" s="1"/>
  <c r="T3" i="25" s="1"/>
  <c r="U3" i="25" s="1"/>
  <c r="V3" i="25" s="1"/>
  <c r="W3" i="25" s="1"/>
  <c r="X3" i="25" s="1"/>
  <c r="Y3" i="25" s="1"/>
  <c r="Z3" i="25" s="1"/>
  <c r="AA3" i="25" s="1"/>
  <c r="G3" i="22"/>
  <c r="H3" i="22" s="1"/>
  <c r="I3" i="22" s="1"/>
  <c r="J3" i="22" s="1"/>
  <c r="K3" i="22" s="1"/>
  <c r="L3" i="22" s="1"/>
  <c r="M3" i="22" s="1"/>
  <c r="N3" i="22" s="1"/>
  <c r="O3" i="22" s="1"/>
  <c r="T3" i="22" s="1"/>
  <c r="U3" i="22" s="1"/>
  <c r="V3" i="22" s="1"/>
  <c r="W3" i="22" s="1"/>
  <c r="X3" i="22" s="1"/>
  <c r="Y3" i="22" s="1"/>
  <c r="Z3" i="22" s="1"/>
  <c r="AA3" i="22" s="1"/>
  <c r="M24" i="29"/>
  <c r="D3" i="24"/>
  <c r="F22" i="11"/>
  <c r="F149" i="6" s="1"/>
  <c r="G22" i="11"/>
  <c r="G149" i="6" s="1"/>
  <c r="F24" i="29"/>
  <c r="H22" i="11"/>
  <c r="H149" i="6" s="1"/>
  <c r="G24" i="10"/>
  <c r="G150" i="6" s="1"/>
  <c r="I22" i="11"/>
  <c r="I149" i="6" s="1"/>
  <c r="H24" i="10"/>
  <c r="H150" i="6" s="1"/>
  <c r="O22" i="28"/>
  <c r="G24" i="29"/>
  <c r="J22" i="11"/>
  <c r="J149" i="6" s="1"/>
  <c r="I24" i="10"/>
  <c r="I150" i="6" s="1"/>
  <c r="J24" i="29"/>
  <c r="O22" i="11"/>
  <c r="O149" i="6" s="1"/>
  <c r="O24" i="10"/>
  <c r="O150" i="6" s="1"/>
  <c r="K21" i="11"/>
  <c r="N9" i="10"/>
  <c r="M9" i="10"/>
  <c r="L9" i="10"/>
  <c r="I9" i="10"/>
  <c r="H9" i="29"/>
  <c r="G3" i="23"/>
  <c r="H3" i="23" s="1"/>
  <c r="I3" i="23" s="1"/>
  <c r="J3" i="23" s="1"/>
  <c r="K3" i="23" s="1"/>
  <c r="L3" i="23" s="1"/>
  <c r="M3" i="23" s="1"/>
  <c r="N3" i="23" s="1"/>
  <c r="O3" i="23" s="1"/>
  <c r="D3" i="23" s="1"/>
  <c r="H9" i="10"/>
  <c r="M9" i="29"/>
  <c r="O9" i="29"/>
  <c r="O21" i="11"/>
  <c r="M21" i="11"/>
  <c r="J9" i="10"/>
  <c r="H21" i="28"/>
  <c r="F9" i="29"/>
  <c r="K21" i="28"/>
  <c r="I9" i="29"/>
  <c r="O9" i="10"/>
  <c r="J21" i="28"/>
  <c r="J21" i="11"/>
  <c r="I21" i="11"/>
  <c r="F9" i="10"/>
  <c r="L21" i="28"/>
  <c r="K9" i="29"/>
  <c r="N21" i="28"/>
  <c r="D5" i="23"/>
  <c r="F21" i="28"/>
  <c r="G21" i="28"/>
  <c r="H16" i="11"/>
  <c r="H131" i="6" s="1"/>
  <c r="I16" i="28"/>
  <c r="H12" i="20"/>
  <c r="K16" i="28"/>
  <c r="N16" i="11"/>
  <c r="N131" i="6" s="1"/>
  <c r="L16" i="28"/>
  <c r="O16" i="11"/>
  <c r="O131" i="6" s="1"/>
  <c r="M16" i="28"/>
  <c r="I12" i="20"/>
  <c r="I134" i="6" s="1"/>
  <c r="F16" i="28"/>
  <c r="G16" i="28"/>
  <c r="I11" i="28"/>
  <c r="J11" i="28"/>
  <c r="H11" i="28"/>
  <c r="K11" i="28"/>
  <c r="L11" i="28"/>
  <c r="M11" i="28"/>
  <c r="N11" i="28"/>
  <c r="O11" i="28"/>
  <c r="F11" i="28"/>
  <c r="G11" i="28"/>
  <c r="A38" i="28"/>
  <c r="A27" i="28"/>
  <c r="A15" i="10"/>
  <c r="A9" i="11"/>
  <c r="A15" i="28"/>
  <c r="A9" i="28"/>
  <c r="A22" i="29"/>
  <c r="A21" i="10"/>
  <c r="A21" i="29"/>
  <c r="D45" i="29"/>
  <c r="A22" i="10"/>
  <c r="A24" i="28"/>
  <c r="A22" i="28"/>
  <c r="A18" i="29"/>
  <c r="A45" i="29"/>
  <c r="A32" i="29"/>
  <c r="A13" i="29"/>
  <c r="A20" i="29"/>
  <c r="A35" i="29"/>
  <c r="A48" i="29"/>
  <c r="A12" i="29"/>
  <c r="A14" i="29"/>
  <c r="A25" i="29"/>
  <c r="A15" i="29"/>
  <c r="A8" i="29"/>
  <c r="A24" i="29"/>
  <c r="A16" i="29"/>
  <c r="A42" i="29"/>
  <c r="A9" i="29"/>
  <c r="A17" i="29"/>
  <c r="G3" i="29"/>
  <c r="H3" i="29" s="1"/>
  <c r="I3" i="29" s="1"/>
  <c r="J3" i="29" s="1"/>
  <c r="K3" i="29" s="1"/>
  <c r="L3" i="29" s="1"/>
  <c r="M3" i="29" s="1"/>
  <c r="N3" i="29" s="1"/>
  <c r="O3" i="29" s="1"/>
  <c r="T3" i="29" s="1"/>
  <c r="U3" i="29" s="1"/>
  <c r="V3" i="29" s="1"/>
  <c r="W3" i="29" s="1"/>
  <c r="X3" i="29" s="1"/>
  <c r="Y3" i="29" s="1"/>
  <c r="Z3" i="29" s="1"/>
  <c r="AA3" i="29" s="1"/>
  <c r="A16" i="28"/>
  <c r="A10" i="28"/>
  <c r="A11" i="28"/>
  <c r="A5" i="28"/>
  <c r="A20" i="28"/>
  <c r="A7" i="28"/>
  <c r="A21" i="28"/>
  <c r="A8" i="28"/>
  <c r="A36" i="15"/>
  <c r="A23" i="15"/>
  <c r="A12" i="15"/>
  <c r="A12" i="26"/>
  <c r="G37" i="19"/>
  <c r="G35" i="19" s="1"/>
  <c r="G61" i="19" s="1"/>
  <c r="H93" i="13"/>
  <c r="I93" i="13" s="1"/>
  <c r="J93" i="13" s="1"/>
  <c r="K93" i="13" s="1"/>
  <c r="L93" i="13" s="1"/>
  <c r="M93" i="13" s="1"/>
  <c r="N93" i="13" s="1"/>
  <c r="O93" i="13" s="1"/>
  <c r="P93" i="13" s="1"/>
  <c r="I95" i="13"/>
  <c r="H37" i="19"/>
  <c r="H35" i="19" s="1"/>
  <c r="H61" i="19" s="1"/>
  <c r="T3" i="26"/>
  <c r="U3" i="26" s="1"/>
  <c r="V3" i="26" s="1"/>
  <c r="W3" i="26" s="1"/>
  <c r="X3" i="26" s="1"/>
  <c r="Y3" i="26" s="1"/>
  <c r="Z3" i="26" s="1"/>
  <c r="AA3" i="26" s="1"/>
  <c r="A23" i="25"/>
  <c r="A10" i="25"/>
  <c r="A6" i="22"/>
  <c r="B31" i="2"/>
  <c r="A24" i="10"/>
  <c r="A21" i="11"/>
  <c r="D5" i="24"/>
  <c r="T3" i="23"/>
  <c r="U3" i="23" s="1"/>
  <c r="V3" i="23" s="1"/>
  <c r="W3" i="23" s="1"/>
  <c r="X3" i="23" s="1"/>
  <c r="Y3" i="23" s="1"/>
  <c r="Z3" i="23" s="1"/>
  <c r="AA3" i="23" s="1"/>
  <c r="A13" i="22"/>
  <c r="A12" i="22"/>
  <c r="L12" i="21"/>
  <c r="N12" i="21"/>
  <c r="H12" i="21"/>
  <c r="J12" i="20"/>
  <c r="D5" i="20"/>
  <c r="K12" i="20"/>
  <c r="A11" i="22"/>
  <c r="K12" i="21"/>
  <c r="A11" i="11"/>
  <c r="A18" i="10"/>
  <c r="A16" i="11"/>
  <c r="O12" i="21"/>
  <c r="M12" i="21"/>
  <c r="F12" i="21"/>
  <c r="D14" i="21"/>
  <c r="D20" i="21"/>
  <c r="D13" i="21"/>
  <c r="F19" i="21"/>
  <c r="D5" i="21"/>
  <c r="D19" i="20"/>
  <c r="D20" i="20"/>
  <c r="L12" i="20"/>
  <c r="D14" i="20"/>
  <c r="M12" i="20"/>
  <c r="N12" i="20"/>
  <c r="O12" i="20"/>
  <c r="F12" i="20"/>
  <c r="D13" i="20"/>
  <c r="G3" i="21"/>
  <c r="H3" i="21" s="1"/>
  <c r="I3" i="21" s="1"/>
  <c r="J3" i="21" s="1"/>
  <c r="K3" i="21" s="1"/>
  <c r="L3" i="21" s="1"/>
  <c r="M3" i="21" s="1"/>
  <c r="N3" i="21" s="1"/>
  <c r="O3" i="21" s="1"/>
  <c r="T3" i="21" s="1"/>
  <c r="U3" i="21" s="1"/>
  <c r="V3" i="21" s="1"/>
  <c r="W3" i="21" s="1"/>
  <c r="X3" i="21" s="1"/>
  <c r="Y3" i="21" s="1"/>
  <c r="Z3" i="21" s="1"/>
  <c r="AA3" i="21" s="1"/>
  <c r="G3" i="20"/>
  <c r="H3" i="20" s="1"/>
  <c r="I3" i="20" s="1"/>
  <c r="J3" i="20" s="1"/>
  <c r="K3" i="20" s="1"/>
  <c r="L3" i="20" s="1"/>
  <c r="M3" i="20" s="1"/>
  <c r="N3" i="20" s="1"/>
  <c r="O3" i="20" s="1"/>
  <c r="T3" i="20" s="1"/>
  <c r="U3" i="20" s="1"/>
  <c r="V3" i="20" s="1"/>
  <c r="W3" i="20" s="1"/>
  <c r="X3" i="20" s="1"/>
  <c r="Y3" i="20" s="1"/>
  <c r="Z3" i="20" s="1"/>
  <c r="AA3" i="20" s="1"/>
  <c r="A46" i="19"/>
  <c r="F44" i="19"/>
  <c r="A45" i="19"/>
  <c r="F39" i="19"/>
  <c r="F62" i="19" s="1"/>
  <c r="A41" i="19"/>
  <c r="A40" i="19"/>
  <c r="A36" i="19"/>
  <c r="F35" i="19"/>
  <c r="F61" i="19" s="1"/>
  <c r="A37" i="19"/>
  <c r="F23" i="19"/>
  <c r="F58" i="19" s="1"/>
  <c r="A25" i="19"/>
  <c r="A24" i="19"/>
  <c r="A29" i="19"/>
  <c r="H57" i="11" l="1"/>
  <c r="H123" i="6"/>
  <c r="K57" i="11"/>
  <c r="K123" i="6"/>
  <c r="G57" i="11"/>
  <c r="G123" i="6"/>
  <c r="J144" i="6"/>
  <c r="J172" i="6"/>
  <c r="I144" i="6"/>
  <c r="I172" i="6"/>
  <c r="N57" i="11"/>
  <c r="N123" i="6"/>
  <c r="G144" i="6"/>
  <c r="G172" i="6"/>
  <c r="F144" i="6"/>
  <c r="F172" i="6"/>
  <c r="O57" i="11"/>
  <c r="O123" i="6"/>
  <c r="N144" i="6"/>
  <c r="N172" i="6"/>
  <c r="J57" i="11"/>
  <c r="J123" i="6"/>
  <c r="K144" i="6"/>
  <c r="K172" i="6"/>
  <c r="H144" i="6"/>
  <c r="H172" i="6"/>
  <c r="L57" i="11"/>
  <c r="L123" i="6"/>
  <c r="I57" i="11"/>
  <c r="I123" i="6"/>
  <c r="M144" i="6"/>
  <c r="M172" i="6"/>
  <c r="L144" i="6"/>
  <c r="L172" i="6"/>
  <c r="D143" i="6"/>
  <c r="O144" i="6"/>
  <c r="O172" i="6"/>
  <c r="M57" i="11"/>
  <c r="M123" i="6"/>
  <c r="F57" i="11"/>
  <c r="F123" i="6"/>
  <c r="D171" i="6"/>
  <c r="N173" i="6"/>
  <c r="N145" i="6"/>
  <c r="J173" i="6"/>
  <c r="J145" i="6"/>
  <c r="K173" i="6"/>
  <c r="K145" i="6"/>
  <c r="F173" i="6"/>
  <c r="F145" i="6"/>
  <c r="D150" i="6"/>
  <c r="H173" i="6"/>
  <c r="H145" i="6"/>
  <c r="G173" i="6"/>
  <c r="G145" i="6"/>
  <c r="O173" i="6"/>
  <c r="O145" i="6"/>
  <c r="I173" i="6"/>
  <c r="I145" i="6"/>
  <c r="L173" i="6"/>
  <c r="L145" i="6"/>
  <c r="M173" i="6"/>
  <c r="M145" i="6"/>
  <c r="L136" i="47"/>
  <c r="L126" i="6"/>
  <c r="O136" i="47"/>
  <c r="O126" i="6"/>
  <c r="J136" i="47"/>
  <c r="J126" i="6"/>
  <c r="N136" i="47"/>
  <c r="N126" i="6"/>
  <c r="M136" i="47"/>
  <c r="M126" i="6"/>
  <c r="K136" i="47"/>
  <c r="K126" i="6"/>
  <c r="G136" i="47"/>
  <c r="G126" i="6"/>
  <c r="I136" i="47"/>
  <c r="I126" i="6"/>
  <c r="H136" i="47"/>
  <c r="H126" i="6"/>
  <c r="F136" i="47"/>
  <c r="F126" i="6"/>
  <c r="O137" i="47"/>
  <c r="O134" i="6"/>
  <c r="G137" i="47"/>
  <c r="G134" i="6"/>
  <c r="N137" i="47"/>
  <c r="N134" i="6"/>
  <c r="M137" i="47"/>
  <c r="M134" i="6"/>
  <c r="L137" i="47"/>
  <c r="L134" i="6"/>
  <c r="H137" i="47"/>
  <c r="H134" i="6"/>
  <c r="K137" i="47"/>
  <c r="K134" i="6"/>
  <c r="J137" i="47"/>
  <c r="J134" i="6"/>
  <c r="F137" i="47"/>
  <c r="F134" i="6"/>
  <c r="D149" i="6"/>
  <c r="D131" i="6"/>
  <c r="G18" i="29"/>
  <c r="I17" i="29"/>
  <c r="I17" i="10"/>
  <c r="I127" i="6" s="1"/>
  <c r="J17" i="29"/>
  <c r="D22" i="28"/>
  <c r="D128" i="47"/>
  <c r="G17" i="29"/>
  <c r="J17" i="10"/>
  <c r="J127" i="6" s="1"/>
  <c r="G17" i="10"/>
  <c r="G127" i="6" s="1"/>
  <c r="D105" i="47"/>
  <c r="D143" i="47"/>
  <c r="D106" i="47"/>
  <c r="D95" i="47"/>
  <c r="D100" i="47"/>
  <c r="G18" i="10"/>
  <c r="G135" i="6" s="1"/>
  <c r="I18" i="29"/>
  <c r="I137" i="47"/>
  <c r="I18" i="10"/>
  <c r="I135" i="6" s="1"/>
  <c r="L18" i="29"/>
  <c r="F17" i="10"/>
  <c r="F127" i="6" s="1"/>
  <c r="H18" i="10"/>
  <c r="H135" i="6" s="1"/>
  <c r="F18" i="10"/>
  <c r="F135" i="6" s="1"/>
  <c r="D15" i="22"/>
  <c r="F14" i="22"/>
  <c r="D14" i="22" s="1"/>
  <c r="D3" i="20"/>
  <c r="D3" i="25"/>
  <c r="D3" i="29"/>
  <c r="D9" i="29"/>
  <c r="D3" i="28"/>
  <c r="D11" i="28"/>
  <c r="D3" i="22"/>
  <c r="D24" i="29"/>
  <c r="D21" i="28"/>
  <c r="H18" i="29"/>
  <c r="D16" i="28"/>
  <c r="D3" i="21"/>
  <c r="J18" i="10"/>
  <c r="J135" i="6" s="1"/>
  <c r="J18" i="29"/>
  <c r="O18" i="10"/>
  <c r="O135" i="6" s="1"/>
  <c r="O18" i="29"/>
  <c r="N17" i="10"/>
  <c r="N127" i="6" s="1"/>
  <c r="N17" i="29"/>
  <c r="K18" i="10"/>
  <c r="K135" i="6" s="1"/>
  <c r="K18" i="29"/>
  <c r="F18" i="29"/>
  <c r="F17" i="29"/>
  <c r="H17" i="10"/>
  <c r="H127" i="6" s="1"/>
  <c r="H17" i="29"/>
  <c r="N18" i="10"/>
  <c r="N135" i="6" s="1"/>
  <c r="N18" i="29"/>
  <c r="M18" i="10"/>
  <c r="M135" i="6" s="1"/>
  <c r="M18" i="29"/>
  <c r="O17" i="10"/>
  <c r="O127" i="6" s="1"/>
  <c r="O17" i="29"/>
  <c r="K17" i="10"/>
  <c r="K127" i="6" s="1"/>
  <c r="K17" i="29"/>
  <c r="L17" i="10"/>
  <c r="L127" i="6" s="1"/>
  <c r="L17" i="29"/>
  <c r="M17" i="10"/>
  <c r="M127" i="6" s="1"/>
  <c r="M17" i="29"/>
  <c r="K29" i="19"/>
  <c r="J29" i="19"/>
  <c r="M29" i="19"/>
  <c r="I29" i="19"/>
  <c r="N29" i="19"/>
  <c r="L29" i="19"/>
  <c r="H29" i="19"/>
  <c r="O29" i="19"/>
  <c r="J95" i="13"/>
  <c r="I37" i="19"/>
  <c r="I35" i="19" s="1"/>
  <c r="I61" i="19" s="1"/>
  <c r="D19" i="21"/>
  <c r="D12" i="20"/>
  <c r="L18" i="10"/>
  <c r="L135" i="6" s="1"/>
  <c r="D12" i="21"/>
  <c r="D123" i="6" l="1"/>
  <c r="D57" i="11"/>
  <c r="D172" i="6"/>
  <c r="D144" i="6"/>
  <c r="D126" i="6"/>
  <c r="D134" i="6"/>
  <c r="D145" i="6"/>
  <c r="D173" i="6"/>
  <c r="D136" i="47"/>
  <c r="D127" i="6"/>
  <c r="D135" i="6"/>
  <c r="D137" i="47"/>
  <c r="D17" i="10"/>
  <c r="D18" i="29"/>
  <c r="D17" i="29"/>
  <c r="K95" i="13"/>
  <c r="J37" i="19"/>
  <c r="J35" i="19" s="1"/>
  <c r="J61" i="19" s="1"/>
  <c r="L95" i="13" l="1"/>
  <c r="K37" i="19"/>
  <c r="K35" i="19" s="1"/>
  <c r="K61" i="19" s="1"/>
  <c r="M95" i="13" l="1"/>
  <c r="L37" i="19"/>
  <c r="L35" i="19" s="1"/>
  <c r="L61" i="19" s="1"/>
  <c r="N95" i="13" l="1"/>
  <c r="M37" i="19"/>
  <c r="M35" i="19" s="1"/>
  <c r="M61" i="19" s="1"/>
  <c r="O95" i="13" l="1"/>
  <c r="N37" i="19"/>
  <c r="N35" i="19" s="1"/>
  <c r="N61" i="19" s="1"/>
  <c r="P95" i="13" l="1"/>
  <c r="O37" i="19"/>
  <c r="O35" i="19" s="1"/>
  <c r="O61" i="19" s="1"/>
  <c r="D61" i="19" s="1"/>
  <c r="I16" i="16" l="1"/>
  <c r="J16" i="16" s="1"/>
  <c r="K16" i="16" s="1"/>
  <c r="L16" i="16" s="1"/>
  <c r="M16" i="16" s="1"/>
  <c r="N16" i="16" s="1"/>
  <c r="O16" i="16" s="1"/>
  <c r="O20" i="19"/>
  <c r="N20" i="19"/>
  <c r="M20" i="19"/>
  <c r="L20" i="19"/>
  <c r="K20" i="19"/>
  <c r="J20" i="19"/>
  <c r="I20" i="19"/>
  <c r="H20" i="19"/>
  <c r="G20" i="19"/>
  <c r="F21" i="19"/>
  <c r="F20" i="19"/>
  <c r="D45" i="19"/>
  <c r="D40" i="19"/>
  <c r="D35" i="19"/>
  <c r="D36" i="19"/>
  <c r="D24" i="19"/>
  <c r="O16" i="19"/>
  <c r="N16" i="19"/>
  <c r="M16" i="19"/>
  <c r="L16" i="19"/>
  <c r="K16" i="19"/>
  <c r="J16" i="19"/>
  <c r="I16" i="19"/>
  <c r="H16" i="19"/>
  <c r="G16" i="19"/>
  <c r="F16" i="19"/>
  <c r="F12" i="19"/>
  <c r="F17" i="19"/>
  <c r="F13" i="19"/>
  <c r="G12" i="19"/>
  <c r="H12" i="19"/>
  <c r="I12" i="19"/>
  <c r="J12" i="19"/>
  <c r="K12" i="19"/>
  <c r="L12" i="19"/>
  <c r="M12" i="19"/>
  <c r="N12" i="19"/>
  <c r="O12" i="19"/>
  <c r="D57" i="7"/>
  <c r="W2" i="19"/>
  <c r="X2" i="19" s="1"/>
  <c r="Y2" i="19" s="1"/>
  <c r="Z2" i="19" s="1"/>
  <c r="AA2" i="19" s="1"/>
  <c r="AB2" i="19" s="1"/>
  <c r="AC2" i="19" s="1"/>
  <c r="AD2" i="19" s="1"/>
  <c r="A2" i="19"/>
  <c r="I25" i="18"/>
  <c r="J25" i="18" s="1"/>
  <c r="K25" i="18" s="1"/>
  <c r="L25" i="18" s="1"/>
  <c r="M25" i="18" s="1"/>
  <c r="N25" i="18" s="1"/>
  <c r="O25" i="18" s="1"/>
  <c r="H23" i="18"/>
  <c r="H7" i="18" s="1"/>
  <c r="D24" i="18"/>
  <c r="G7" i="18"/>
  <c r="F7" i="18"/>
  <c r="D15" i="18"/>
  <c r="H14" i="18"/>
  <c r="I16" i="18"/>
  <c r="I14" i="18" s="1"/>
  <c r="I40" i="16"/>
  <c r="J40" i="16" s="1"/>
  <c r="K40" i="16" s="1"/>
  <c r="L40" i="16" s="1"/>
  <c r="M40" i="16" s="1"/>
  <c r="N40" i="16" s="1"/>
  <c r="O40" i="16" s="1"/>
  <c r="I34" i="16"/>
  <c r="J34" i="16" s="1"/>
  <c r="K34" i="16" s="1"/>
  <c r="L34" i="16" s="1"/>
  <c r="M34" i="16" s="1"/>
  <c r="N34" i="16" s="1"/>
  <c r="O34" i="16" s="1"/>
  <c r="I28" i="16"/>
  <c r="J28" i="16" s="1"/>
  <c r="K28" i="16" s="1"/>
  <c r="L28" i="16" s="1"/>
  <c r="M28" i="16" s="1"/>
  <c r="N28" i="16" s="1"/>
  <c r="O28" i="16" s="1"/>
  <c r="I22" i="16"/>
  <c r="J22" i="16" s="1"/>
  <c r="K22" i="16" s="1"/>
  <c r="L22" i="16" s="1"/>
  <c r="M22" i="16" s="1"/>
  <c r="N22" i="16" s="1"/>
  <c r="O22" i="16" s="1"/>
  <c r="V2" i="18"/>
  <c r="W2" i="18" s="1"/>
  <c r="X2" i="18" s="1"/>
  <c r="Y2" i="18" s="1"/>
  <c r="Z2" i="18" s="1"/>
  <c r="AA2" i="18" s="1"/>
  <c r="AB2" i="18" s="1"/>
  <c r="AC2" i="18" s="1"/>
  <c r="A2" i="18"/>
  <c r="G72" i="7"/>
  <c r="H72" i="7" s="1"/>
  <c r="G51" i="7"/>
  <c r="G53" i="7" s="1"/>
  <c r="F51" i="7"/>
  <c r="F53" i="7" s="1"/>
  <c r="P51" i="7"/>
  <c r="O51" i="7"/>
  <c r="O53" i="7" s="1"/>
  <c r="N51" i="7"/>
  <c r="N53" i="7" s="1"/>
  <c r="M51" i="7"/>
  <c r="M53" i="7" s="1"/>
  <c r="L51" i="7"/>
  <c r="L53" i="7" s="1"/>
  <c r="K51" i="7"/>
  <c r="K53" i="7" s="1"/>
  <c r="J51" i="7"/>
  <c r="J53" i="7" s="1"/>
  <c r="I51" i="7"/>
  <c r="I53" i="7" s="1"/>
  <c r="H51" i="7"/>
  <c r="H53" i="7" s="1"/>
  <c r="A8" i="11" a="1"/>
  <c r="A7" i="11" a="1"/>
  <c r="A21" i="19" a="1"/>
  <c r="A13" i="19" a="1"/>
  <c r="A20" i="19" a="1"/>
  <c r="A16" i="19" a="1"/>
  <c r="B26" i="2" a="1"/>
  <c r="A14" i="10" a="1"/>
  <c r="A17" i="19" a="1"/>
  <c r="B24" i="2" a="1"/>
  <c r="A12" i="19" a="1"/>
  <c r="P53" i="7" l="1"/>
  <c r="C51" i="1"/>
  <c r="F91" i="47"/>
  <c r="F8" i="18"/>
  <c r="F101" i="6"/>
  <c r="G91" i="47"/>
  <c r="G8" i="18"/>
  <c r="G101" i="6"/>
  <c r="H91" i="47"/>
  <c r="H8" i="18"/>
  <c r="H101" i="6"/>
  <c r="D53" i="7"/>
  <c r="H28" i="19"/>
  <c r="H27" i="19" s="1"/>
  <c r="H59" i="19" s="1"/>
  <c r="K28" i="19"/>
  <c r="K27" i="19" s="1"/>
  <c r="K59" i="19" s="1"/>
  <c r="N28" i="19"/>
  <c r="N27" i="19" s="1"/>
  <c r="N59" i="19" s="1"/>
  <c r="L28" i="19"/>
  <c r="L27" i="19" s="1"/>
  <c r="L59" i="19" s="1"/>
  <c r="O28" i="19"/>
  <c r="O27" i="19" s="1"/>
  <c r="O59" i="19" s="1"/>
  <c r="J28" i="19"/>
  <c r="M28" i="19"/>
  <c r="M27" i="19" s="1"/>
  <c r="M59" i="19" s="1"/>
  <c r="F28" i="19"/>
  <c r="F27" i="19" s="1"/>
  <c r="F59" i="19" s="1"/>
  <c r="I28" i="19"/>
  <c r="I27" i="19" s="1"/>
  <c r="I59" i="19" s="1"/>
  <c r="G28" i="19"/>
  <c r="G27" i="19" s="1"/>
  <c r="G59" i="19" s="1"/>
  <c r="G3" i="19"/>
  <c r="H3" i="19" s="1"/>
  <c r="I3" i="19" s="1"/>
  <c r="J3" i="19" s="1"/>
  <c r="K3" i="19" s="1"/>
  <c r="L3" i="19" s="1"/>
  <c r="M3" i="19" s="1"/>
  <c r="N3" i="19" s="1"/>
  <c r="O3" i="19" s="1"/>
  <c r="D3" i="19" s="1"/>
  <c r="F7" i="28"/>
  <c r="H7" i="11"/>
  <c r="H7" i="28"/>
  <c r="G7" i="28"/>
  <c r="B26" i="2"/>
  <c r="A7" i="11"/>
  <c r="A8" i="11"/>
  <c r="F19" i="19"/>
  <c r="F57" i="19" s="1"/>
  <c r="D20" i="19"/>
  <c r="A20" i="19"/>
  <c r="A21" i="19"/>
  <c r="F15" i="19"/>
  <c r="F56" i="19" s="1"/>
  <c r="D16" i="19"/>
  <c r="A16" i="19"/>
  <c r="A12" i="19"/>
  <c r="A17" i="19"/>
  <c r="A13" i="19"/>
  <c r="D12" i="19"/>
  <c r="F11" i="19"/>
  <c r="F55" i="19" s="1"/>
  <c r="J16" i="18"/>
  <c r="K16" i="18" s="1"/>
  <c r="L16" i="18" s="1"/>
  <c r="M16" i="18" s="1"/>
  <c r="N16" i="18" s="1"/>
  <c r="B24" i="2"/>
  <c r="W3" i="19"/>
  <c r="X3" i="19" s="1"/>
  <c r="Y3" i="19" s="1"/>
  <c r="Z3" i="19" s="1"/>
  <c r="AA3" i="19" s="1"/>
  <c r="AB3" i="19" s="1"/>
  <c r="AC3" i="19" s="1"/>
  <c r="AD3" i="19" s="1"/>
  <c r="A14" i="10"/>
  <c r="J23" i="18"/>
  <c r="F7" i="11"/>
  <c r="G7" i="11"/>
  <c r="I23" i="18"/>
  <c r="I7" i="18" s="1"/>
  <c r="G3" i="18"/>
  <c r="H3" i="18" s="1"/>
  <c r="I3" i="18" s="1"/>
  <c r="J3" i="18" s="1"/>
  <c r="K3" i="18" s="1"/>
  <c r="L3" i="18" s="1"/>
  <c r="M3" i="18" s="1"/>
  <c r="N3" i="18" s="1"/>
  <c r="O3" i="18" s="1"/>
  <c r="V3" i="18" s="1"/>
  <c r="W3" i="18" s="1"/>
  <c r="X3" i="18" s="1"/>
  <c r="Y3" i="18" s="1"/>
  <c r="Z3" i="18" s="1"/>
  <c r="AA3" i="18" s="1"/>
  <c r="AB3" i="18" s="1"/>
  <c r="AC3" i="18" s="1"/>
  <c r="I91" i="47" l="1"/>
  <c r="I8" i="18"/>
  <c r="I101" i="6"/>
  <c r="F53" i="11"/>
  <c r="F102" i="6"/>
  <c r="H53" i="11"/>
  <c r="H102" i="6"/>
  <c r="G53" i="11"/>
  <c r="G102" i="6"/>
  <c r="D3" i="18"/>
  <c r="F54" i="19"/>
  <c r="H12" i="22"/>
  <c r="G12" i="22"/>
  <c r="F12" i="22"/>
  <c r="D28" i="19"/>
  <c r="J27" i="19"/>
  <c r="F5" i="19"/>
  <c r="F9" i="18"/>
  <c r="G9" i="18"/>
  <c r="I7" i="11"/>
  <c r="I7" i="28"/>
  <c r="M14" i="18"/>
  <c r="L14" i="18"/>
  <c r="J14" i="18"/>
  <c r="J7" i="18" s="1"/>
  <c r="K14" i="18"/>
  <c r="O16" i="18"/>
  <c r="N14" i="18"/>
  <c r="K23" i="18"/>
  <c r="H9" i="18"/>
  <c r="H131" i="47" l="1"/>
  <c r="H105" i="6"/>
  <c r="G131" i="47"/>
  <c r="G105" i="6"/>
  <c r="F131" i="47"/>
  <c r="F105" i="6"/>
  <c r="J91" i="47"/>
  <c r="J8" i="18"/>
  <c r="J101" i="6"/>
  <c r="F92" i="47"/>
  <c r="F6" i="19"/>
  <c r="F109" i="6"/>
  <c r="I53" i="11"/>
  <c r="I102" i="6"/>
  <c r="D27" i="19"/>
  <c r="J59" i="19"/>
  <c r="D59" i="19" s="1"/>
  <c r="G12" i="10"/>
  <c r="F12" i="10"/>
  <c r="G12" i="29"/>
  <c r="F12" i="29"/>
  <c r="I12" i="22"/>
  <c r="J7" i="11"/>
  <c r="J7" i="28"/>
  <c r="F8" i="11"/>
  <c r="F8" i="28"/>
  <c r="H12" i="10"/>
  <c r="H12" i="29"/>
  <c r="I9" i="18"/>
  <c r="O14" i="18"/>
  <c r="L23" i="18"/>
  <c r="K7" i="18"/>
  <c r="K91" i="47" l="1"/>
  <c r="K8" i="18"/>
  <c r="K101" i="6"/>
  <c r="I131" i="47"/>
  <c r="I105" i="6"/>
  <c r="F106" i="6"/>
  <c r="G106" i="6"/>
  <c r="H106" i="6"/>
  <c r="J53" i="11"/>
  <c r="J102" i="6"/>
  <c r="F54" i="11"/>
  <c r="F110" i="6"/>
  <c r="J12" i="22"/>
  <c r="F13" i="22"/>
  <c r="K7" i="11"/>
  <c r="K7" i="28"/>
  <c r="I12" i="10"/>
  <c r="I12" i="29"/>
  <c r="D14" i="18"/>
  <c r="F7" i="19"/>
  <c r="L7" i="18"/>
  <c r="M23" i="18"/>
  <c r="J9" i="18"/>
  <c r="L91" i="47" l="1"/>
  <c r="L8" i="18"/>
  <c r="L101" i="6"/>
  <c r="J131" i="47"/>
  <c r="J105" i="6"/>
  <c r="I106" i="6"/>
  <c r="F132" i="47"/>
  <c r="F113" i="6"/>
  <c r="K53" i="11"/>
  <c r="K102" i="6"/>
  <c r="F13" i="10"/>
  <c r="L7" i="11"/>
  <c r="L7" i="28"/>
  <c r="J12" i="10"/>
  <c r="J12" i="29"/>
  <c r="F13" i="29"/>
  <c r="N23" i="18"/>
  <c r="M7" i="18"/>
  <c r="M91" i="47" l="1"/>
  <c r="M8" i="18"/>
  <c r="M101" i="6"/>
  <c r="J106" i="6"/>
  <c r="F114" i="6"/>
  <c r="L53" i="11"/>
  <c r="L102" i="6"/>
  <c r="L12" i="22"/>
  <c r="K12" i="22"/>
  <c r="M7" i="11"/>
  <c r="M7" i="28"/>
  <c r="L9" i="18"/>
  <c r="K9" i="18"/>
  <c r="N7" i="18"/>
  <c r="O23" i="18"/>
  <c r="N91" i="47" l="1"/>
  <c r="N8" i="18"/>
  <c r="N101" i="6"/>
  <c r="K131" i="47"/>
  <c r="K105" i="6"/>
  <c r="L131" i="47"/>
  <c r="L105" i="6"/>
  <c r="M53" i="11"/>
  <c r="M102" i="6"/>
  <c r="M12" i="22"/>
  <c r="N7" i="11"/>
  <c r="N7" i="28"/>
  <c r="K12" i="10"/>
  <c r="K12" i="29"/>
  <c r="L12" i="10"/>
  <c r="L12" i="29"/>
  <c r="M9" i="18"/>
  <c r="D23" i="18"/>
  <c r="O7" i="18"/>
  <c r="M131" i="47" l="1"/>
  <c r="M105" i="6"/>
  <c r="O91" i="47"/>
  <c r="D91" i="47" s="1"/>
  <c r="O8" i="18"/>
  <c r="O101" i="6"/>
  <c r="D101" i="6" s="1"/>
  <c r="L106" i="6"/>
  <c r="K106" i="6"/>
  <c r="N53" i="11"/>
  <c r="N102" i="6"/>
  <c r="N12" i="22"/>
  <c r="O7" i="11"/>
  <c r="O7" i="28"/>
  <c r="M12" i="10"/>
  <c r="M12" i="29"/>
  <c r="N9" i="18"/>
  <c r="N131" i="47" l="1"/>
  <c r="N105" i="6"/>
  <c r="M106" i="6"/>
  <c r="O53" i="11"/>
  <c r="O102" i="6"/>
  <c r="D102" i="6" s="1"/>
  <c r="O12" i="22"/>
  <c r="D7" i="28"/>
  <c r="D53" i="11"/>
  <c r="D7" i="11"/>
  <c r="N12" i="10"/>
  <c r="N12" i="29"/>
  <c r="O9" i="18"/>
  <c r="O131" i="47" l="1"/>
  <c r="D131" i="47" s="1"/>
  <c r="O105" i="6"/>
  <c r="D105" i="6" s="1"/>
  <c r="N106" i="6"/>
  <c r="O12" i="10"/>
  <c r="O12" i="29"/>
  <c r="D7" i="18"/>
  <c r="O106" i="6" l="1"/>
  <c r="D106" i="6" s="1"/>
  <c r="D12" i="22"/>
  <c r="D8" i="18"/>
  <c r="D12" i="29" l="1"/>
  <c r="D9" i="18"/>
  <c r="D12" i="10" l="1"/>
  <c r="D63" i="7" l="1"/>
  <c r="D60" i="7"/>
  <c r="D51" i="7"/>
  <c r="D48" i="7"/>
  <c r="D45" i="7"/>
  <c r="D42" i="7"/>
  <c r="D39" i="7"/>
  <c r="D10" i="17"/>
  <c r="D9" i="17"/>
  <c r="D8" i="17"/>
  <c r="O7" i="17"/>
  <c r="O188" i="6" s="1"/>
  <c r="N7" i="17"/>
  <c r="N188" i="6" s="1"/>
  <c r="M7" i="17"/>
  <c r="L7" i="17"/>
  <c r="L188" i="6" s="1"/>
  <c r="K7" i="17"/>
  <c r="K188" i="6" s="1"/>
  <c r="J7" i="17"/>
  <c r="J188" i="6" s="1"/>
  <c r="I7" i="17"/>
  <c r="I188" i="6" s="1"/>
  <c r="H7" i="17"/>
  <c r="H188" i="6" s="1"/>
  <c r="G7" i="17"/>
  <c r="G188" i="6" s="1"/>
  <c r="F7" i="17"/>
  <c r="F188" i="6" s="1"/>
  <c r="A24" i="9" a="1"/>
  <c r="L42" i="10" l="1"/>
  <c r="L189" i="6" s="1"/>
  <c r="M42" i="10"/>
  <c r="M189" i="6" s="1"/>
  <c r="M188" i="6"/>
  <c r="D188" i="6" s="1"/>
  <c r="G161" i="47"/>
  <c r="G160" i="47" s="1"/>
  <c r="D32" i="41"/>
  <c r="G42" i="10"/>
  <c r="G189" i="6" s="1"/>
  <c r="F42" i="10"/>
  <c r="F189" i="6" s="1"/>
  <c r="F161" i="47"/>
  <c r="H161" i="47"/>
  <c r="H160" i="47" s="1"/>
  <c r="E32" i="41"/>
  <c r="N42" i="10"/>
  <c r="N189" i="6" s="1"/>
  <c r="N161" i="47"/>
  <c r="N160" i="47" s="1"/>
  <c r="K32" i="41"/>
  <c r="H42" i="10"/>
  <c r="H189" i="6" s="1"/>
  <c r="K161" i="47"/>
  <c r="K160" i="47" s="1"/>
  <c r="H32" i="41"/>
  <c r="L161" i="47"/>
  <c r="L160" i="47" s="1"/>
  <c r="I32" i="41"/>
  <c r="O42" i="10"/>
  <c r="O189" i="6" s="1"/>
  <c r="O161" i="47"/>
  <c r="O160" i="47" s="1"/>
  <c r="L32" i="41"/>
  <c r="I161" i="47"/>
  <c r="I160" i="47" s="1"/>
  <c r="F32" i="41"/>
  <c r="J161" i="47"/>
  <c r="J160" i="47" s="1"/>
  <c r="G32" i="41"/>
  <c r="M161" i="47"/>
  <c r="M160" i="47" s="1"/>
  <c r="J32" i="41"/>
  <c r="F12" i="17"/>
  <c r="F24" i="31" s="1"/>
  <c r="C32" i="41"/>
  <c r="G42" i="29"/>
  <c r="G41" i="29" s="1"/>
  <c r="J42" i="29"/>
  <c r="J41" i="29" s="1"/>
  <c r="H42" i="29"/>
  <c r="H41" i="29" s="1"/>
  <c r="K42" i="29"/>
  <c r="K41" i="29" s="1"/>
  <c r="L42" i="29"/>
  <c r="L41" i="29" s="1"/>
  <c r="K42" i="10"/>
  <c r="K189" i="6" s="1"/>
  <c r="N42" i="29"/>
  <c r="N41" i="29" s="1"/>
  <c r="J42" i="10"/>
  <c r="J189" i="6" s="1"/>
  <c r="F42" i="29"/>
  <c r="I42" i="29"/>
  <c r="I41" i="29" s="1"/>
  <c r="M42" i="29"/>
  <c r="M41" i="29" s="1"/>
  <c r="O42" i="29"/>
  <c r="O41" i="29" s="1"/>
  <c r="I42" i="10"/>
  <c r="I189" i="6" s="1"/>
  <c r="A24" i="9"/>
  <c r="D7" i="17"/>
  <c r="C56" i="1" s="1"/>
  <c r="O45" i="10"/>
  <c r="O193" i="6" s="1"/>
  <c r="N45" i="10"/>
  <c r="N193" i="6" s="1"/>
  <c r="M45" i="10"/>
  <c r="M193" i="6" s="1"/>
  <c r="L45" i="10"/>
  <c r="L193" i="6" s="1"/>
  <c r="K45" i="10"/>
  <c r="K193" i="6" s="1"/>
  <c r="J45" i="10"/>
  <c r="J193" i="6" s="1"/>
  <c r="I45" i="10"/>
  <c r="I193" i="6" s="1"/>
  <c r="H45" i="10"/>
  <c r="H193" i="6" s="1"/>
  <c r="G45" i="10"/>
  <c r="G193" i="6" s="1"/>
  <c r="F45" i="10"/>
  <c r="F193" i="6" s="1"/>
  <c r="F61" i="17"/>
  <c r="G58" i="17" s="1"/>
  <c r="D60" i="17"/>
  <c r="D59" i="17"/>
  <c r="F52" i="17"/>
  <c r="F53" i="17" s="1"/>
  <c r="D51" i="17"/>
  <c r="D50" i="17"/>
  <c r="F43" i="17"/>
  <c r="G40" i="17" s="1"/>
  <c r="D42" i="17"/>
  <c r="D41" i="17"/>
  <c r="F34" i="17"/>
  <c r="F35" i="17" s="1"/>
  <c r="D32" i="17"/>
  <c r="F12" i="15"/>
  <c r="F13" i="15"/>
  <c r="F8" i="15"/>
  <c r="G8" i="15"/>
  <c r="H8" i="15"/>
  <c r="G9" i="15"/>
  <c r="H9" i="15"/>
  <c r="I72" i="7"/>
  <c r="I9" i="15" s="1"/>
  <c r="I71" i="7"/>
  <c r="J71" i="7" s="1"/>
  <c r="J8" i="15" s="1"/>
  <c r="H70" i="7"/>
  <c r="G70" i="7"/>
  <c r="F70" i="7"/>
  <c r="A25" i="10" a="1"/>
  <c r="A8" i="15" a="1"/>
  <c r="A9" i="15" a="1"/>
  <c r="A16" i="10" a="1"/>
  <c r="A5" i="11" a="1"/>
  <c r="D189" i="6" l="1"/>
  <c r="D193" i="6"/>
  <c r="F183" i="47"/>
  <c r="I96" i="41"/>
  <c r="L184" i="47"/>
  <c r="I33" i="41"/>
  <c r="O184" i="47"/>
  <c r="L96" i="41"/>
  <c r="L33" i="41"/>
  <c r="F185" i="47"/>
  <c r="C97" i="41"/>
  <c r="C5" i="51"/>
  <c r="K96" i="41"/>
  <c r="N184" i="47"/>
  <c r="K33" i="41"/>
  <c r="G185" i="47"/>
  <c r="D97" i="41"/>
  <c r="F24" i="9"/>
  <c r="D161" i="47"/>
  <c r="D160" i="47" s="1"/>
  <c r="F160" i="47"/>
  <c r="E96" i="41"/>
  <c r="H184" i="47"/>
  <c r="E33" i="41"/>
  <c r="F96" i="41"/>
  <c r="I184" i="47"/>
  <c r="F33" i="41"/>
  <c r="G12" i="17"/>
  <c r="G24" i="31" s="1"/>
  <c r="J96" i="41"/>
  <c r="M184" i="47"/>
  <c r="J33" i="41"/>
  <c r="J184" i="47"/>
  <c r="G96" i="41"/>
  <c r="G33" i="41"/>
  <c r="H96" i="41"/>
  <c r="K184" i="47"/>
  <c r="H33" i="41"/>
  <c r="M32" i="41"/>
  <c r="C12" i="41" s="1"/>
  <c r="F18" i="15"/>
  <c r="F17" i="15"/>
  <c r="F41" i="29"/>
  <c r="D42" i="29"/>
  <c r="D41" i="29" s="1"/>
  <c r="G24" i="9"/>
  <c r="I8" i="15"/>
  <c r="I70" i="7"/>
  <c r="A16" i="10"/>
  <c r="A25" i="10"/>
  <c r="D45" i="10"/>
  <c r="G31" i="17"/>
  <c r="G34" i="17" s="1"/>
  <c r="H31" i="17" s="1"/>
  <c r="H33" i="17" s="1"/>
  <c r="F24" i="17"/>
  <c r="G49" i="17"/>
  <c r="G52" i="17" s="1"/>
  <c r="H49" i="17" s="1"/>
  <c r="H52" i="17" s="1"/>
  <c r="I49" i="17" s="1"/>
  <c r="G61" i="17"/>
  <c r="H58" i="17" s="1"/>
  <c r="F62" i="17"/>
  <c r="F54" i="17"/>
  <c r="D22" i="17"/>
  <c r="F44" i="17"/>
  <c r="F45" i="17" s="1"/>
  <c r="G43" i="17"/>
  <c r="H40" i="17" s="1"/>
  <c r="F36" i="17"/>
  <c r="A5" i="11"/>
  <c r="A9" i="15"/>
  <c r="A8" i="15"/>
  <c r="K71" i="7"/>
  <c r="K8" i="15" s="1"/>
  <c r="J72" i="7"/>
  <c r="V2" i="17"/>
  <c r="W2" i="17" s="1"/>
  <c r="X2" i="17" s="1"/>
  <c r="Y2" i="17" s="1"/>
  <c r="Z2" i="17" s="1"/>
  <c r="AA2" i="17" s="1"/>
  <c r="AB2" i="17" s="1"/>
  <c r="AC2" i="17" s="1"/>
  <c r="A2" i="17"/>
  <c r="J42" i="16"/>
  <c r="J41" i="16" s="1"/>
  <c r="H39" i="16"/>
  <c r="H57" i="16" s="1"/>
  <c r="G39" i="16"/>
  <c r="G57" i="16" s="1"/>
  <c r="F39" i="16"/>
  <c r="F57" i="16" s="1"/>
  <c r="J36" i="16"/>
  <c r="J35" i="16" s="1"/>
  <c r="I33" i="16"/>
  <c r="I56" i="16" s="1"/>
  <c r="H33" i="16"/>
  <c r="H56" i="16" s="1"/>
  <c r="G33" i="16"/>
  <c r="G56" i="16" s="1"/>
  <c r="F33" i="16"/>
  <c r="F56" i="16" s="1"/>
  <c r="J30" i="16"/>
  <c r="K30" i="16" s="1"/>
  <c r="H27" i="16"/>
  <c r="H55" i="16" s="1"/>
  <c r="G27" i="16"/>
  <c r="G55" i="16" s="1"/>
  <c r="F27" i="16"/>
  <c r="F55" i="16" s="1"/>
  <c r="J24" i="16"/>
  <c r="K24" i="16" s="1"/>
  <c r="L24" i="16" s="1"/>
  <c r="M24" i="16" s="1"/>
  <c r="N24" i="16" s="1"/>
  <c r="O24" i="16" s="1"/>
  <c r="H21" i="16"/>
  <c r="G21" i="16"/>
  <c r="F21" i="16"/>
  <c r="J18" i="16"/>
  <c r="K18" i="16" s="1"/>
  <c r="L18" i="16" s="1"/>
  <c r="M18" i="16" s="1"/>
  <c r="N18" i="16" s="1"/>
  <c r="O18" i="16" s="1"/>
  <c r="I15" i="16"/>
  <c r="H15" i="16"/>
  <c r="G15" i="16"/>
  <c r="F15" i="16"/>
  <c r="F53" i="16" s="1"/>
  <c r="V2" i="16"/>
  <c r="W2" i="16" s="1"/>
  <c r="X2" i="16" s="1"/>
  <c r="Y2" i="16" s="1"/>
  <c r="Z2" i="16" s="1"/>
  <c r="AA2" i="16" s="1"/>
  <c r="AB2" i="16" s="1"/>
  <c r="AC2" i="16" s="1"/>
  <c r="A2" i="16"/>
  <c r="H7" i="15"/>
  <c r="G7" i="15"/>
  <c r="F7" i="15"/>
  <c r="V2" i="15"/>
  <c r="W2" i="15" s="1"/>
  <c r="X2" i="15" s="1"/>
  <c r="Y2" i="15" s="1"/>
  <c r="Z2" i="15" s="1"/>
  <c r="AA2" i="15" s="1"/>
  <c r="AB2" i="15" s="1"/>
  <c r="AC2" i="15" s="1"/>
  <c r="A2" i="15"/>
  <c r="O148" i="14"/>
  <c r="N148" i="14"/>
  <c r="M148" i="14"/>
  <c r="L148" i="14"/>
  <c r="K148" i="14"/>
  <c r="J148" i="14"/>
  <c r="I148" i="14"/>
  <c r="H148" i="14"/>
  <c r="G148" i="14"/>
  <c r="G149" i="14" s="1"/>
  <c r="F148" i="14"/>
  <c r="F149" i="14" s="1"/>
  <c r="O139" i="14"/>
  <c r="N139" i="14"/>
  <c r="M139" i="14"/>
  <c r="L139" i="14"/>
  <c r="K139" i="14"/>
  <c r="J139" i="14"/>
  <c r="I139" i="14"/>
  <c r="H139" i="14"/>
  <c r="G139" i="14"/>
  <c r="F139" i="14"/>
  <c r="O130" i="14"/>
  <c r="N130" i="14"/>
  <c r="M130" i="14"/>
  <c r="L130" i="14"/>
  <c r="K130" i="14"/>
  <c r="J130" i="14"/>
  <c r="I130" i="14"/>
  <c r="H130" i="14"/>
  <c r="G130" i="14"/>
  <c r="F130" i="14"/>
  <c r="O121" i="14"/>
  <c r="N121" i="14"/>
  <c r="M121" i="14"/>
  <c r="L121" i="14"/>
  <c r="K121" i="14"/>
  <c r="J121" i="14"/>
  <c r="I121" i="14"/>
  <c r="H121" i="14"/>
  <c r="G121" i="14"/>
  <c r="F121" i="14"/>
  <c r="F122" i="14" s="1"/>
  <c r="O112" i="14"/>
  <c r="N112" i="14"/>
  <c r="M112" i="14"/>
  <c r="L112" i="14"/>
  <c r="K112" i="14"/>
  <c r="J112" i="14"/>
  <c r="I112" i="14"/>
  <c r="H112" i="14"/>
  <c r="G112" i="14"/>
  <c r="F112" i="14"/>
  <c r="F113" i="14" s="1"/>
  <c r="O103" i="14"/>
  <c r="N103" i="14"/>
  <c r="M103" i="14"/>
  <c r="L103" i="14"/>
  <c r="K103" i="14"/>
  <c r="J103" i="14"/>
  <c r="I103" i="14"/>
  <c r="H103" i="14"/>
  <c r="G103" i="14"/>
  <c r="F103" i="14"/>
  <c r="O94" i="14"/>
  <c r="N94" i="14"/>
  <c r="M94" i="14"/>
  <c r="L94" i="14"/>
  <c r="K94" i="14"/>
  <c r="J94" i="14"/>
  <c r="I94" i="14"/>
  <c r="H94" i="14"/>
  <c r="G94" i="14"/>
  <c r="F94" i="14"/>
  <c r="O85" i="14"/>
  <c r="N85" i="14"/>
  <c r="M85" i="14"/>
  <c r="L85" i="14"/>
  <c r="K85" i="14"/>
  <c r="J85" i="14"/>
  <c r="I85" i="14"/>
  <c r="H85" i="14"/>
  <c r="G85" i="14"/>
  <c r="F85" i="14"/>
  <c r="O76" i="14"/>
  <c r="N76" i="14"/>
  <c r="M76" i="14"/>
  <c r="L76" i="14"/>
  <c r="K76" i="14"/>
  <c r="J76" i="14"/>
  <c r="I76" i="14"/>
  <c r="H76" i="14"/>
  <c r="G76" i="14"/>
  <c r="F76" i="14"/>
  <c r="O58" i="14"/>
  <c r="N58" i="14"/>
  <c r="M58" i="14"/>
  <c r="M59" i="14" s="1"/>
  <c r="L58" i="14"/>
  <c r="K58" i="14"/>
  <c r="J58" i="14"/>
  <c r="I58" i="14"/>
  <c r="H58" i="14"/>
  <c r="G58" i="14"/>
  <c r="F58" i="14"/>
  <c r="O39" i="14"/>
  <c r="N39" i="14"/>
  <c r="M39" i="14"/>
  <c r="L39" i="14"/>
  <c r="K39" i="14"/>
  <c r="J39" i="14"/>
  <c r="I39" i="14"/>
  <c r="H39" i="14"/>
  <c r="G39" i="14"/>
  <c r="F39" i="14"/>
  <c r="F22" i="14"/>
  <c r="O22" i="14"/>
  <c r="N22" i="14"/>
  <c r="M22" i="14"/>
  <c r="L22" i="14"/>
  <c r="K22" i="14"/>
  <c r="K23" i="14" s="1"/>
  <c r="J22" i="14"/>
  <c r="J23" i="14" s="1"/>
  <c r="I22" i="14"/>
  <c r="I23" i="14" s="1"/>
  <c r="H22" i="14"/>
  <c r="G22" i="14"/>
  <c r="G23" i="14" s="1"/>
  <c r="P21" i="7"/>
  <c r="O21" i="7"/>
  <c r="N21" i="7"/>
  <c r="M21" i="7"/>
  <c r="L21" i="7"/>
  <c r="K21" i="7"/>
  <c r="J21" i="7"/>
  <c r="I21" i="7"/>
  <c r="H21" i="7"/>
  <c r="G21" i="7"/>
  <c r="F21" i="7"/>
  <c r="D33" i="7"/>
  <c r="D32" i="7"/>
  <c r="D31" i="7"/>
  <c r="D30" i="7"/>
  <c r="D29" i="7"/>
  <c r="D28" i="7"/>
  <c r="D27" i="7"/>
  <c r="D26" i="7"/>
  <c r="D25" i="7"/>
  <c r="D24" i="7"/>
  <c r="D23" i="7"/>
  <c r="D22" i="7"/>
  <c r="G153" i="14"/>
  <c r="H153" i="14" s="1"/>
  <c r="G144" i="14"/>
  <c r="H144" i="14" s="1"/>
  <c r="G135" i="14"/>
  <c r="H135" i="14" s="1"/>
  <c r="G126" i="14"/>
  <c r="H126" i="14" s="1"/>
  <c r="G117" i="14"/>
  <c r="H117" i="14" s="1"/>
  <c r="G108" i="14"/>
  <c r="H108" i="14" s="1"/>
  <c r="G99" i="14"/>
  <c r="H99" i="14" s="1"/>
  <c r="G90" i="14"/>
  <c r="H90" i="14" s="1"/>
  <c r="H89" i="14" s="1"/>
  <c r="G81" i="14"/>
  <c r="H81" i="14" s="1"/>
  <c r="G63" i="14"/>
  <c r="H63" i="14" s="1"/>
  <c r="G44" i="14"/>
  <c r="H44" i="14" s="1"/>
  <c r="G27" i="14"/>
  <c r="H27" i="14" s="1"/>
  <c r="G10" i="14"/>
  <c r="G10" i="28" s="1"/>
  <c r="F10" i="28"/>
  <c r="A2" i="14"/>
  <c r="G99" i="13"/>
  <c r="H92" i="13"/>
  <c r="G91" i="13"/>
  <c r="A76" i="14" a="1"/>
  <c r="A94" i="14" a="1"/>
  <c r="A130" i="14" a="1"/>
  <c r="A121" i="14" a="1"/>
  <c r="A103" i="14" a="1"/>
  <c r="A139" i="14" a="1"/>
  <c r="A85" i="14" a="1"/>
  <c r="A58" i="14" a="1"/>
  <c r="A39" i="14" a="1"/>
  <c r="A112" i="14" a="1"/>
  <c r="A148" i="14" a="1"/>
  <c r="F25" i="17" l="1"/>
  <c r="F138" i="6" s="1"/>
  <c r="F25" i="29"/>
  <c r="H167" i="47"/>
  <c r="H23" i="17"/>
  <c r="F186" i="47"/>
  <c r="G183" i="47" s="1"/>
  <c r="G186" i="47" s="1"/>
  <c r="H183" i="47" s="1"/>
  <c r="E30" i="51"/>
  <c r="F93" i="6"/>
  <c r="G40" i="14"/>
  <c r="G41" i="14" s="1"/>
  <c r="G49" i="14" s="1"/>
  <c r="I59" i="14"/>
  <c r="I60" i="14" s="1"/>
  <c r="I68" i="14" s="1"/>
  <c r="K77" i="14"/>
  <c r="K78" i="14" s="1"/>
  <c r="M86" i="14"/>
  <c r="M87" i="14" s="1"/>
  <c r="O95" i="14"/>
  <c r="O96" i="14" s="1"/>
  <c r="G113" i="14"/>
  <c r="G114" i="14" s="1"/>
  <c r="I122" i="14"/>
  <c r="I123" i="14" s="1"/>
  <c r="K131" i="14"/>
  <c r="K132" i="14" s="1"/>
  <c r="M140" i="14"/>
  <c r="M141" i="14" s="1"/>
  <c r="O149" i="14"/>
  <c r="O150" i="14" s="1"/>
  <c r="H23" i="14"/>
  <c r="H24" i="14" s="1"/>
  <c r="I40" i="14"/>
  <c r="K59" i="14"/>
  <c r="K60" i="14" s="1"/>
  <c r="K68" i="14" s="1"/>
  <c r="M77" i="14"/>
  <c r="M78" i="14" s="1"/>
  <c r="O86" i="14"/>
  <c r="O87" i="14" s="1"/>
  <c r="G104" i="14"/>
  <c r="G105" i="14" s="1"/>
  <c r="I113" i="14"/>
  <c r="I114" i="14" s="1"/>
  <c r="K122" i="14"/>
  <c r="K123" i="14" s="1"/>
  <c r="M131" i="14"/>
  <c r="M132" i="14" s="1"/>
  <c r="O140" i="14"/>
  <c r="O141" i="14" s="1"/>
  <c r="N140" i="14"/>
  <c r="N141" i="14" s="1"/>
  <c r="J40" i="14"/>
  <c r="J41" i="14" s="1"/>
  <c r="J49" i="14" s="1"/>
  <c r="L59" i="14"/>
  <c r="L60" i="14" s="1"/>
  <c r="L68" i="14" s="1"/>
  <c r="N77" i="14"/>
  <c r="F95" i="14"/>
  <c r="F96" i="14" s="1"/>
  <c r="F100" i="14" s="1"/>
  <c r="H104" i="14"/>
  <c r="H105" i="14" s="1"/>
  <c r="J113" i="14"/>
  <c r="J114" i="14" s="1"/>
  <c r="L122" i="14"/>
  <c r="L123" i="14" s="1"/>
  <c r="N131" i="14"/>
  <c r="N132" i="14" s="1"/>
  <c r="J59" i="14"/>
  <c r="N86" i="14"/>
  <c r="N87" i="14" s="1"/>
  <c r="H113" i="14"/>
  <c r="H114" i="14" s="1"/>
  <c r="L131" i="14"/>
  <c r="L132" i="14" s="1"/>
  <c r="O77" i="14"/>
  <c r="O78" i="14" s="1"/>
  <c r="G95" i="14"/>
  <c r="G96" i="14" s="1"/>
  <c r="K113" i="14"/>
  <c r="K114" i="14" s="1"/>
  <c r="M122" i="14"/>
  <c r="M123" i="14" s="1"/>
  <c r="O131" i="14"/>
  <c r="O132" i="14" s="1"/>
  <c r="J122" i="14"/>
  <c r="J123" i="14" s="1"/>
  <c r="L40" i="14"/>
  <c r="L41" i="14" s="1"/>
  <c r="L49" i="14" s="1"/>
  <c r="N59" i="14"/>
  <c r="N60" i="14" s="1"/>
  <c r="F86" i="14"/>
  <c r="H95" i="14"/>
  <c r="H96" i="14" s="1"/>
  <c r="J104" i="14"/>
  <c r="J105" i="14" s="1"/>
  <c r="L113" i="14"/>
  <c r="L114" i="14" s="1"/>
  <c r="N122" i="14"/>
  <c r="N123" i="14" s="1"/>
  <c r="F140" i="14"/>
  <c r="F141" i="14" s="1"/>
  <c r="H149" i="14"/>
  <c r="H150" i="14" s="1"/>
  <c r="I104" i="14"/>
  <c r="I105" i="14" s="1"/>
  <c r="O59" i="14"/>
  <c r="O60" i="14" s="1"/>
  <c r="O68" i="14" s="1"/>
  <c r="I95" i="14"/>
  <c r="I96" i="14" s="1"/>
  <c r="K104" i="14"/>
  <c r="K105" i="14" s="1"/>
  <c r="M113" i="14"/>
  <c r="M114" i="14" s="1"/>
  <c r="O122" i="14"/>
  <c r="O123" i="14" s="1"/>
  <c r="G140" i="14"/>
  <c r="G141" i="14" s="1"/>
  <c r="I149" i="14"/>
  <c r="I150" i="14" s="1"/>
  <c r="M23" i="14"/>
  <c r="M24" i="14" s="1"/>
  <c r="M32" i="14" s="1"/>
  <c r="N40" i="14"/>
  <c r="N41" i="14" s="1"/>
  <c r="N49" i="14" s="1"/>
  <c r="F77" i="14"/>
  <c r="F78" i="14" s="1"/>
  <c r="H86" i="14"/>
  <c r="J95" i="14"/>
  <c r="J96" i="14" s="1"/>
  <c r="L104" i="14"/>
  <c r="L105" i="14" s="1"/>
  <c r="N113" i="14"/>
  <c r="N114" i="14" s="1"/>
  <c r="F131" i="14"/>
  <c r="F132" i="14" s="1"/>
  <c r="F136" i="14" s="1"/>
  <c r="H140" i="14"/>
  <c r="H141" i="14" s="1"/>
  <c r="J149" i="14"/>
  <c r="J150" i="14" s="1"/>
  <c r="N23" i="14"/>
  <c r="N24" i="14" s="1"/>
  <c r="N32" i="14" s="1"/>
  <c r="O40" i="14"/>
  <c r="O41" i="14" s="1"/>
  <c r="O49" i="14" s="1"/>
  <c r="G77" i="14"/>
  <c r="G78" i="14" s="1"/>
  <c r="I86" i="14"/>
  <c r="I87" i="14" s="1"/>
  <c r="K95" i="14"/>
  <c r="K96" i="14" s="1"/>
  <c r="M104" i="14"/>
  <c r="M105" i="14" s="1"/>
  <c r="O113" i="14"/>
  <c r="O114" i="14" s="1"/>
  <c r="G131" i="14"/>
  <c r="G132" i="14" s="1"/>
  <c r="I140" i="14"/>
  <c r="I141" i="14" s="1"/>
  <c r="K149" i="14"/>
  <c r="K150" i="14" s="1"/>
  <c r="L77" i="14"/>
  <c r="L78" i="14" s="1"/>
  <c r="F104" i="14"/>
  <c r="G86" i="14"/>
  <c r="G87" i="14" s="1"/>
  <c r="O23" i="14"/>
  <c r="O24" i="14" s="1"/>
  <c r="F59" i="14"/>
  <c r="F60" i="14" s="1"/>
  <c r="H77" i="14"/>
  <c r="H78" i="14" s="1"/>
  <c r="J86" i="14"/>
  <c r="J87" i="14" s="1"/>
  <c r="L95" i="14"/>
  <c r="N104" i="14"/>
  <c r="N105" i="14" s="1"/>
  <c r="H131" i="14"/>
  <c r="H132" i="14" s="1"/>
  <c r="J140" i="14"/>
  <c r="J141" i="14" s="1"/>
  <c r="L149" i="14"/>
  <c r="L150" i="14" s="1"/>
  <c r="K40" i="14"/>
  <c r="K41" i="14" s="1"/>
  <c r="K49" i="14" s="1"/>
  <c r="M40" i="14"/>
  <c r="F23" i="14"/>
  <c r="F24" i="14" s="1"/>
  <c r="G59" i="14"/>
  <c r="G60" i="14" s="1"/>
  <c r="G68" i="14" s="1"/>
  <c r="I77" i="14"/>
  <c r="I78" i="14" s="1"/>
  <c r="K86" i="14"/>
  <c r="K87" i="14" s="1"/>
  <c r="M95" i="14"/>
  <c r="M96" i="14" s="1"/>
  <c r="O104" i="14"/>
  <c r="G122" i="14"/>
  <c r="G123" i="14" s="1"/>
  <c r="I131" i="14"/>
  <c r="I132" i="14" s="1"/>
  <c r="K140" i="14"/>
  <c r="K141" i="14" s="1"/>
  <c r="M149" i="14"/>
  <c r="M150" i="14" s="1"/>
  <c r="H40" i="14"/>
  <c r="H41" i="14" s="1"/>
  <c r="L23" i="14"/>
  <c r="F40" i="14"/>
  <c r="F41" i="14" s="1"/>
  <c r="H59" i="14"/>
  <c r="H60" i="14" s="1"/>
  <c r="H68" i="14" s="1"/>
  <c r="J77" i="14"/>
  <c r="J78" i="14" s="1"/>
  <c r="L86" i="14"/>
  <c r="L87" i="14" s="1"/>
  <c r="N95" i="14"/>
  <c r="N96" i="14" s="1"/>
  <c r="H122" i="14"/>
  <c r="H123" i="14" s="1"/>
  <c r="J131" i="14"/>
  <c r="J132" i="14" s="1"/>
  <c r="L140" i="14"/>
  <c r="L141" i="14" s="1"/>
  <c r="N149" i="14"/>
  <c r="N150" i="14" s="1"/>
  <c r="H12" i="17"/>
  <c r="I12" i="17" s="1"/>
  <c r="G18" i="18"/>
  <c r="G53" i="16"/>
  <c r="F27" i="18"/>
  <c r="F54" i="16"/>
  <c r="G27" i="18"/>
  <c r="G54" i="16"/>
  <c r="H27" i="18"/>
  <c r="H28" i="18" s="1"/>
  <c r="H29" i="18" s="1"/>
  <c r="H54" i="16"/>
  <c r="F52" i="16"/>
  <c r="D184" i="47"/>
  <c r="M96" i="41"/>
  <c r="C86" i="41"/>
  <c r="M33" i="41"/>
  <c r="C13" i="41" s="1"/>
  <c r="C11" i="41" s="1"/>
  <c r="C89" i="41" s="1"/>
  <c r="C11" i="51"/>
  <c r="C7" i="51" s="1"/>
  <c r="H18" i="18"/>
  <c r="H19" i="18" s="1"/>
  <c r="H20" i="18" s="1"/>
  <c r="H53" i="16"/>
  <c r="I18" i="18"/>
  <c r="I19" i="18" s="1"/>
  <c r="I53" i="16"/>
  <c r="I33" i="17"/>
  <c r="I23" i="17" s="1"/>
  <c r="H48" i="29"/>
  <c r="I7" i="15"/>
  <c r="G3" i="14"/>
  <c r="H3" i="14" s="1"/>
  <c r="I3" i="14" s="1"/>
  <c r="J3" i="14" s="1"/>
  <c r="K3" i="14" s="1"/>
  <c r="L3" i="14" s="1"/>
  <c r="M3" i="14" s="1"/>
  <c r="N3" i="14" s="1"/>
  <c r="O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G3" i="16"/>
  <c r="H3" i="16" s="1"/>
  <c r="I3" i="16" s="1"/>
  <c r="J3" i="16" s="1"/>
  <c r="K3" i="16" s="1"/>
  <c r="L3" i="16" s="1"/>
  <c r="M3" i="16" s="1"/>
  <c r="N3" i="16" s="1"/>
  <c r="O3" i="16" s="1"/>
  <c r="V3" i="16" s="1"/>
  <c r="W3" i="16" s="1"/>
  <c r="X3" i="16" s="1"/>
  <c r="Y3" i="16" s="1"/>
  <c r="Z3" i="16" s="1"/>
  <c r="AA3" i="16" s="1"/>
  <c r="AB3" i="16" s="1"/>
  <c r="AC3" i="16" s="1"/>
  <c r="G3" i="17"/>
  <c r="G3" i="15"/>
  <c r="H3" i="15" s="1"/>
  <c r="I3" i="15" s="1"/>
  <c r="J3" i="15" s="1"/>
  <c r="K3" i="15" s="1"/>
  <c r="L3" i="15" s="1"/>
  <c r="M3" i="15" s="1"/>
  <c r="N3" i="15" s="1"/>
  <c r="O3" i="15" s="1"/>
  <c r="V3" i="15" s="1"/>
  <c r="W3" i="15" s="1"/>
  <c r="X3" i="15" s="1"/>
  <c r="Y3" i="15" s="1"/>
  <c r="Z3" i="15" s="1"/>
  <c r="AA3" i="15" s="1"/>
  <c r="AB3" i="15" s="1"/>
  <c r="AC3" i="15" s="1"/>
  <c r="F47" i="29"/>
  <c r="F52" i="29" s="1"/>
  <c r="G21" i="17"/>
  <c r="F27" i="31"/>
  <c r="F26" i="31" s="1"/>
  <c r="F26" i="15"/>
  <c r="F39" i="15"/>
  <c r="F45" i="15" s="1"/>
  <c r="F93" i="47" s="1"/>
  <c r="F40" i="15"/>
  <c r="F46" i="15" s="1"/>
  <c r="F27" i="15"/>
  <c r="F31" i="15" s="1"/>
  <c r="F15" i="28" s="1"/>
  <c r="H99" i="13"/>
  <c r="G46" i="19"/>
  <c r="G44" i="19" s="1"/>
  <c r="I92" i="13"/>
  <c r="H25" i="19"/>
  <c r="H23" i="19" s="1"/>
  <c r="H58" i="19" s="1"/>
  <c r="J17" i="16"/>
  <c r="J15" i="16" s="1"/>
  <c r="F8" i="16"/>
  <c r="F18" i="18"/>
  <c r="H91" i="13"/>
  <c r="G21" i="19"/>
  <c r="G19" i="19" s="1"/>
  <c r="G57" i="19" s="1"/>
  <c r="K72" i="7"/>
  <c r="K70" i="7" s="1"/>
  <c r="J9" i="15"/>
  <c r="G35" i="17"/>
  <c r="G53" i="17"/>
  <c r="G54" i="17" s="1"/>
  <c r="F63" i="17"/>
  <c r="F26" i="17" s="1"/>
  <c r="H61" i="17"/>
  <c r="I58" i="17" s="1"/>
  <c r="G62" i="17"/>
  <c r="G63" i="17" s="1"/>
  <c r="H53" i="17"/>
  <c r="H54" i="17" s="1"/>
  <c r="I52" i="17"/>
  <c r="J49" i="17" s="1"/>
  <c r="H34" i="17"/>
  <c r="I31" i="17" s="1"/>
  <c r="H43" i="17"/>
  <c r="I40" i="17" s="1"/>
  <c r="G44" i="17"/>
  <c r="I21" i="16"/>
  <c r="I27" i="16"/>
  <c r="I55" i="16" s="1"/>
  <c r="L71" i="7"/>
  <c r="L8" i="15" s="1"/>
  <c r="J70" i="7"/>
  <c r="J7" i="14"/>
  <c r="I7" i="14"/>
  <c r="H7" i="14"/>
  <c r="M7" i="14"/>
  <c r="N7" i="14"/>
  <c r="O7" i="14"/>
  <c r="K7" i="14"/>
  <c r="J24" i="14"/>
  <c r="I24" i="14"/>
  <c r="D21" i="7"/>
  <c r="D148" i="14"/>
  <c r="D58" i="14"/>
  <c r="J23" i="16"/>
  <c r="K23" i="16" s="1"/>
  <c r="L23" i="16" s="1"/>
  <c r="M23" i="16" s="1"/>
  <c r="N23" i="16" s="1"/>
  <c r="O23" i="16" s="1"/>
  <c r="K42" i="16"/>
  <c r="L42" i="16" s="1"/>
  <c r="M42" i="16" s="1"/>
  <c r="N42" i="16" s="1"/>
  <c r="O42" i="16" s="1"/>
  <c r="J29" i="16"/>
  <c r="K29" i="16" s="1"/>
  <c r="J33" i="16"/>
  <c r="J56" i="16" s="1"/>
  <c r="J39" i="16"/>
  <c r="J57" i="16" s="1"/>
  <c r="L30" i="16"/>
  <c r="M30" i="16" s="1"/>
  <c r="N30" i="16" s="1"/>
  <c r="O30" i="16" s="1"/>
  <c r="I39" i="16"/>
  <c r="I57" i="16" s="1"/>
  <c r="K36" i="16"/>
  <c r="L36" i="16" s="1"/>
  <c r="M36" i="16" s="1"/>
  <c r="N36" i="16" s="1"/>
  <c r="O36" i="16" s="1"/>
  <c r="G8" i="16"/>
  <c r="H8" i="16"/>
  <c r="F16" i="15"/>
  <c r="L7" i="14"/>
  <c r="D112" i="14"/>
  <c r="D103" i="14"/>
  <c r="K24" i="14"/>
  <c r="D76" i="14"/>
  <c r="D39" i="14"/>
  <c r="G150" i="14"/>
  <c r="A148" i="14"/>
  <c r="F150" i="14"/>
  <c r="D139" i="14"/>
  <c r="A139" i="14"/>
  <c r="D130" i="14"/>
  <c r="A130" i="14"/>
  <c r="G7" i="14"/>
  <c r="A121" i="14"/>
  <c r="A112" i="14"/>
  <c r="F114" i="14"/>
  <c r="F118" i="14" s="1"/>
  <c r="A103" i="14"/>
  <c r="D94" i="14"/>
  <c r="A94" i="14"/>
  <c r="D85" i="14"/>
  <c r="A85" i="14"/>
  <c r="A76" i="14"/>
  <c r="A58" i="14"/>
  <c r="A39" i="14"/>
  <c r="D22" i="14"/>
  <c r="G24" i="14"/>
  <c r="G32" i="14" s="1"/>
  <c r="I81" i="14"/>
  <c r="H80" i="14"/>
  <c r="H98" i="14"/>
  <c r="I99" i="14"/>
  <c r="H143" i="14"/>
  <c r="I144" i="14"/>
  <c r="I108" i="14"/>
  <c r="H107" i="14"/>
  <c r="H116" i="14"/>
  <c r="I117" i="14"/>
  <c r="H125" i="14"/>
  <c r="I126" i="14"/>
  <c r="I27" i="14"/>
  <c r="I44" i="14"/>
  <c r="I135" i="14"/>
  <c r="H134" i="14"/>
  <c r="I63" i="14"/>
  <c r="H152" i="14"/>
  <c r="I153" i="14"/>
  <c r="M60" i="14"/>
  <c r="I90" i="14"/>
  <c r="G97" i="13"/>
  <c r="G89" i="13"/>
  <c r="G88" i="13"/>
  <c r="G81" i="13"/>
  <c r="G13" i="15" s="1"/>
  <c r="G18" i="15" s="1"/>
  <c r="G80" i="13"/>
  <c r="G12" i="15" s="1"/>
  <c r="G17" i="15" s="1"/>
  <c r="I196" i="6" l="1"/>
  <c r="H196" i="6"/>
  <c r="E35" i="51"/>
  <c r="F25" i="10"/>
  <c r="H89" i="47"/>
  <c r="H9" i="16"/>
  <c r="H82" i="6"/>
  <c r="F89" i="47"/>
  <c r="F193" i="47" s="1"/>
  <c r="F9" i="16"/>
  <c r="F82" i="6"/>
  <c r="G89" i="47"/>
  <c r="G9" i="16"/>
  <c r="G82" i="6"/>
  <c r="H24" i="9"/>
  <c r="H24" i="31"/>
  <c r="G36" i="17"/>
  <c r="G25" i="17"/>
  <c r="F187" i="47"/>
  <c r="F188" i="47" s="1"/>
  <c r="D131" i="14"/>
  <c r="N8" i="14"/>
  <c r="N180" i="6" s="1"/>
  <c r="M8" i="14"/>
  <c r="M32" i="29" s="1"/>
  <c r="M30" i="29" s="1"/>
  <c r="F49" i="14"/>
  <c r="F53" i="14" s="1"/>
  <c r="G53" i="14" s="1"/>
  <c r="F45" i="14"/>
  <c r="G45" i="14" s="1"/>
  <c r="H8" i="14"/>
  <c r="E45" i="41" s="1"/>
  <c r="F32" i="14"/>
  <c r="F36" i="14" s="1"/>
  <c r="F28" i="14"/>
  <c r="O8" i="14"/>
  <c r="L45" i="41" s="1"/>
  <c r="D140" i="14"/>
  <c r="D86" i="14"/>
  <c r="D77" i="14"/>
  <c r="D104" i="14"/>
  <c r="D59" i="14"/>
  <c r="D40" i="14"/>
  <c r="L8" i="14"/>
  <c r="I45" i="41" s="1"/>
  <c r="D95" i="14"/>
  <c r="F68" i="14"/>
  <c r="F72" i="14" s="1"/>
  <c r="G72" i="14" s="1"/>
  <c r="F64" i="14"/>
  <c r="G64" i="14" s="1"/>
  <c r="O32" i="14"/>
  <c r="F82" i="14"/>
  <c r="G82" i="14" s="1"/>
  <c r="H82" i="14" s="1"/>
  <c r="N68" i="14"/>
  <c r="D141" i="14"/>
  <c r="F145" i="14"/>
  <c r="G145" i="14" s="1"/>
  <c r="H145" i="14" s="1"/>
  <c r="H32" i="14"/>
  <c r="H9" i="14"/>
  <c r="H49" i="14"/>
  <c r="D132" i="14"/>
  <c r="O154" i="47"/>
  <c r="O153" i="47" s="1"/>
  <c r="O184" i="6"/>
  <c r="L24" i="14"/>
  <c r="O105" i="14"/>
  <c r="O9" i="14" s="1"/>
  <c r="M41" i="14"/>
  <c r="M49" i="14" s="1"/>
  <c r="L96" i="14"/>
  <c r="D96" i="14" s="1"/>
  <c r="F105" i="14"/>
  <c r="H87" i="14"/>
  <c r="F87" i="14"/>
  <c r="J60" i="14"/>
  <c r="J68" i="14" s="1"/>
  <c r="N78" i="14"/>
  <c r="D78" i="14" s="1"/>
  <c r="I41" i="14"/>
  <c r="I49" i="14" s="1"/>
  <c r="N154" i="47"/>
  <c r="N153" i="47" s="1"/>
  <c r="N184" i="6"/>
  <c r="M154" i="47"/>
  <c r="M153" i="47" s="1"/>
  <c r="M184" i="6"/>
  <c r="H154" i="47"/>
  <c r="H153" i="47" s="1"/>
  <c r="H184" i="6"/>
  <c r="I154" i="47"/>
  <c r="I153" i="47" s="1"/>
  <c r="I184" i="6"/>
  <c r="J154" i="47"/>
  <c r="J153" i="47" s="1"/>
  <c r="J184" i="6"/>
  <c r="L154" i="47"/>
  <c r="L153" i="47" s="1"/>
  <c r="L184" i="6"/>
  <c r="G118" i="14"/>
  <c r="H118" i="14" s="1"/>
  <c r="G136" i="14"/>
  <c r="H136" i="14" s="1"/>
  <c r="G154" i="47"/>
  <c r="G153" i="47" s="1"/>
  <c r="G184" i="6"/>
  <c r="G100" i="14"/>
  <c r="H100" i="14" s="1"/>
  <c r="K154" i="47"/>
  <c r="K153" i="47" s="1"/>
  <c r="K184" i="6"/>
  <c r="G187" i="47"/>
  <c r="G188" i="47" s="1"/>
  <c r="G144" i="47" s="1"/>
  <c r="G166" i="47" s="1"/>
  <c r="G171" i="47" s="1"/>
  <c r="G205" i="47" s="1"/>
  <c r="G52" i="16"/>
  <c r="H3" i="17"/>
  <c r="I3" i="17" s="1"/>
  <c r="J3" i="17" s="1"/>
  <c r="K3" i="17" s="1"/>
  <c r="L3" i="17" s="1"/>
  <c r="M3" i="17" s="1"/>
  <c r="N3" i="17" s="1"/>
  <c r="O3" i="17" s="1"/>
  <c r="V3" i="17" s="1"/>
  <c r="W3" i="17" s="1"/>
  <c r="X3" i="17" s="1"/>
  <c r="Y3" i="17" s="1"/>
  <c r="Z3" i="17" s="1"/>
  <c r="AA3" i="17" s="1"/>
  <c r="AB3" i="17" s="1"/>
  <c r="AC3" i="17" s="1"/>
  <c r="C91" i="41"/>
  <c r="C13" i="51"/>
  <c r="I48" i="29"/>
  <c r="I167" i="47"/>
  <c r="E97" i="41"/>
  <c r="H185" i="47"/>
  <c r="H186" i="47" s="1"/>
  <c r="F14" i="15"/>
  <c r="C83" i="41" s="1"/>
  <c r="F53" i="15"/>
  <c r="F54" i="15"/>
  <c r="I27" i="18"/>
  <c r="I28" i="18" s="1"/>
  <c r="I54" i="16"/>
  <c r="I52" i="16" s="1"/>
  <c r="F15" i="11"/>
  <c r="F117" i="6" s="1"/>
  <c r="F99" i="47"/>
  <c r="F90" i="47"/>
  <c r="D3" i="14"/>
  <c r="C98" i="41"/>
  <c r="J18" i="18"/>
  <c r="J19" i="18" s="1"/>
  <c r="J20" i="18" s="1"/>
  <c r="J53" i="16"/>
  <c r="H52" i="16"/>
  <c r="C62" i="41"/>
  <c r="C108" i="41" s="1"/>
  <c r="E62" i="41"/>
  <c r="E108" i="41" s="1"/>
  <c r="E51" i="41"/>
  <c r="E53" i="41" s="1"/>
  <c r="E42" i="41"/>
  <c r="E44" i="41" s="1"/>
  <c r="I51" i="41"/>
  <c r="I53" i="41" s="1"/>
  <c r="I42" i="41"/>
  <c r="I44" i="41" s="1"/>
  <c r="F51" i="41"/>
  <c r="F53" i="41" s="1"/>
  <c r="F42" i="41"/>
  <c r="F44" i="41" s="1"/>
  <c r="G51" i="41"/>
  <c r="G53" i="41" s="1"/>
  <c r="G42" i="41"/>
  <c r="G44" i="41" s="1"/>
  <c r="D51" i="41"/>
  <c r="D53" i="41" s="1"/>
  <c r="D42" i="41"/>
  <c r="H51" i="41"/>
  <c r="H53" i="41" s="1"/>
  <c r="H42" i="41"/>
  <c r="H44" i="41" s="1"/>
  <c r="L42" i="41"/>
  <c r="L44" i="41" s="1"/>
  <c r="L51" i="41"/>
  <c r="L53" i="41" s="1"/>
  <c r="K51" i="41"/>
  <c r="K53" i="41" s="1"/>
  <c r="K42" i="41"/>
  <c r="K44" i="41" s="1"/>
  <c r="J51" i="41"/>
  <c r="J53" i="41" s="1"/>
  <c r="J42" i="41"/>
  <c r="J44" i="41" s="1"/>
  <c r="D62" i="41"/>
  <c r="D108" i="41" s="1"/>
  <c r="D3" i="15"/>
  <c r="D3" i="16"/>
  <c r="K17" i="16"/>
  <c r="L17" i="16" s="1"/>
  <c r="M17" i="16" s="1"/>
  <c r="N17" i="16" s="1"/>
  <c r="O17" i="16" s="1"/>
  <c r="G24" i="17"/>
  <c r="J12" i="17"/>
  <c r="I24" i="31"/>
  <c r="I24" i="9"/>
  <c r="F20" i="28"/>
  <c r="F7" i="26"/>
  <c r="G6" i="26" s="1"/>
  <c r="M68" i="14"/>
  <c r="I32" i="14"/>
  <c r="J32" i="14"/>
  <c r="K9" i="14"/>
  <c r="K32" i="14"/>
  <c r="G36" i="14"/>
  <c r="F44" i="15"/>
  <c r="F119" i="6" s="1"/>
  <c r="F9" i="11"/>
  <c r="F14" i="28"/>
  <c r="G35" i="10"/>
  <c r="G185" i="6" s="1"/>
  <c r="G35" i="29"/>
  <c r="G34" i="29" s="1"/>
  <c r="J35" i="10"/>
  <c r="J185" i="6" s="1"/>
  <c r="J35" i="29"/>
  <c r="J34" i="29" s="1"/>
  <c r="K35" i="10"/>
  <c r="K185" i="6" s="1"/>
  <c r="K35" i="29"/>
  <c r="K34" i="29" s="1"/>
  <c r="O35" i="10"/>
  <c r="O185" i="6" s="1"/>
  <c r="O35" i="29"/>
  <c r="O34" i="29" s="1"/>
  <c r="L35" i="10"/>
  <c r="L185" i="6" s="1"/>
  <c r="L35" i="29"/>
  <c r="L34" i="29" s="1"/>
  <c r="N35" i="10"/>
  <c r="N185" i="6" s="1"/>
  <c r="N35" i="29"/>
  <c r="N34" i="29" s="1"/>
  <c r="M35" i="10"/>
  <c r="M185" i="6" s="1"/>
  <c r="M35" i="29"/>
  <c r="M34" i="29" s="1"/>
  <c r="H35" i="10"/>
  <c r="H185" i="6" s="1"/>
  <c r="H35" i="29"/>
  <c r="H34" i="29" s="1"/>
  <c r="I35" i="10"/>
  <c r="I185" i="6" s="1"/>
  <c r="I35" i="29"/>
  <c r="I34" i="29" s="1"/>
  <c r="F5" i="11"/>
  <c r="F83" i="6" s="1"/>
  <c r="F5" i="28"/>
  <c r="H5" i="11"/>
  <c r="H83" i="6" s="1"/>
  <c r="H5" i="28"/>
  <c r="G5" i="11"/>
  <c r="G83" i="6" s="1"/>
  <c r="G5" i="28"/>
  <c r="G39" i="15"/>
  <c r="G45" i="15" s="1"/>
  <c r="G26" i="15"/>
  <c r="F38" i="15"/>
  <c r="G40" i="15"/>
  <c r="G46" i="15" s="1"/>
  <c r="G99" i="47" s="1"/>
  <c r="G98" i="47" s="1"/>
  <c r="G27" i="15"/>
  <c r="G31" i="15" s="1"/>
  <c r="G15" i="28" s="1"/>
  <c r="G14" i="28" s="1"/>
  <c r="H89" i="13"/>
  <c r="G17" i="19"/>
  <c r="G15" i="19" s="1"/>
  <c r="G56" i="19" s="1"/>
  <c r="H97" i="13"/>
  <c r="G41" i="19"/>
  <c r="G39" i="19" s="1"/>
  <c r="G62" i="19" s="1"/>
  <c r="J92" i="13"/>
  <c r="I25" i="19"/>
  <c r="I23" i="19" s="1"/>
  <c r="I58" i="19" s="1"/>
  <c r="I99" i="13"/>
  <c r="H46" i="19"/>
  <c r="H44" i="19" s="1"/>
  <c r="J8" i="14"/>
  <c r="I91" i="13"/>
  <c r="H21" i="19"/>
  <c r="H19" i="19" s="1"/>
  <c r="H57" i="19" s="1"/>
  <c r="H88" i="13"/>
  <c r="G13" i="19"/>
  <c r="G11" i="19" s="1"/>
  <c r="G55" i="19" s="1"/>
  <c r="I20" i="18"/>
  <c r="L72" i="7"/>
  <c r="L70" i="7" s="1"/>
  <c r="K9" i="15"/>
  <c r="H62" i="17"/>
  <c r="H63" i="17" s="1"/>
  <c r="I61" i="17"/>
  <c r="J58" i="17" s="1"/>
  <c r="J52" i="17"/>
  <c r="K49" i="17" s="1"/>
  <c r="I53" i="17"/>
  <c r="H44" i="17"/>
  <c r="H45" i="17" s="1"/>
  <c r="G45" i="17"/>
  <c r="I43" i="17"/>
  <c r="J40" i="17" s="1"/>
  <c r="J33" i="17"/>
  <c r="J23" i="17" s="1"/>
  <c r="I34" i="17"/>
  <c r="J31" i="17" s="1"/>
  <c r="H35" i="17"/>
  <c r="J27" i="16"/>
  <c r="J55" i="16" s="1"/>
  <c r="D23" i="16"/>
  <c r="J21" i="16"/>
  <c r="G9" i="14"/>
  <c r="G14" i="14" s="1"/>
  <c r="H81" i="13"/>
  <c r="H13" i="15" s="1"/>
  <c r="H18" i="15" s="1"/>
  <c r="H80" i="13"/>
  <c r="H12" i="15" s="1"/>
  <c r="H17" i="15" s="1"/>
  <c r="M71" i="7"/>
  <c r="M8" i="15" s="1"/>
  <c r="I8" i="14"/>
  <c r="D114" i="14"/>
  <c r="K8" i="14"/>
  <c r="D150" i="14"/>
  <c r="D24" i="14"/>
  <c r="D149" i="14"/>
  <c r="F154" i="14"/>
  <c r="G154" i="14" s="1"/>
  <c r="H154" i="14" s="1"/>
  <c r="K41" i="16"/>
  <c r="L29" i="16"/>
  <c r="K35" i="16"/>
  <c r="K33" i="16" s="1"/>
  <c r="K56" i="16" s="1"/>
  <c r="K27" i="16"/>
  <c r="K55" i="16" s="1"/>
  <c r="K21" i="16"/>
  <c r="I8" i="16"/>
  <c r="J7" i="15"/>
  <c r="G8" i="14"/>
  <c r="F25" i="15"/>
  <c r="F30" i="15"/>
  <c r="F9" i="28" s="1"/>
  <c r="D113" i="14"/>
  <c r="D23" i="14"/>
  <c r="I89" i="14"/>
  <c r="J90" i="14"/>
  <c r="J63" i="14"/>
  <c r="J27" i="14"/>
  <c r="I125" i="14"/>
  <c r="J126" i="14"/>
  <c r="I143" i="14"/>
  <c r="J144" i="14"/>
  <c r="I80" i="14"/>
  <c r="J81" i="14"/>
  <c r="G28" i="14"/>
  <c r="I116" i="14"/>
  <c r="J117" i="14"/>
  <c r="I134" i="14"/>
  <c r="J135" i="14"/>
  <c r="I152" i="14"/>
  <c r="J153" i="14"/>
  <c r="J44" i="14"/>
  <c r="I107" i="14"/>
  <c r="J108" i="14"/>
  <c r="I98" i="14"/>
  <c r="J99" i="14"/>
  <c r="K15" i="16" l="1"/>
  <c r="G138" i="6"/>
  <c r="J196" i="6"/>
  <c r="F96" i="47"/>
  <c r="F97" i="47" s="1"/>
  <c r="F139" i="47"/>
  <c r="F18" i="14"/>
  <c r="F7" i="9" s="1"/>
  <c r="F98" i="6" s="1"/>
  <c r="H25" i="17"/>
  <c r="D3" i="17"/>
  <c r="I89" i="47"/>
  <c r="I9" i="16"/>
  <c r="I82" i="6"/>
  <c r="G25" i="29"/>
  <c r="G47" i="29" s="1"/>
  <c r="G52" i="29" s="1"/>
  <c r="G26" i="17"/>
  <c r="F104" i="47"/>
  <c r="F30" i="51"/>
  <c r="G93" i="6"/>
  <c r="N32" i="29"/>
  <c r="N30" i="29" s="1"/>
  <c r="N38" i="29" s="1"/>
  <c r="I9" i="14"/>
  <c r="M6" i="22"/>
  <c r="K45" i="41"/>
  <c r="K46" i="41" s="1"/>
  <c r="K105" i="41" s="1"/>
  <c r="K106" i="41" s="1"/>
  <c r="N6" i="22"/>
  <c r="N151" i="47"/>
  <c r="N149" i="47" s="1"/>
  <c r="N157" i="47" s="1"/>
  <c r="N81" i="47" s="1"/>
  <c r="H32" i="29"/>
  <c r="H30" i="29" s="1"/>
  <c r="H38" i="29" s="1"/>
  <c r="J45" i="41"/>
  <c r="J46" i="41" s="1"/>
  <c r="J105" i="41" s="1"/>
  <c r="J106" i="41" s="1"/>
  <c r="M180" i="6"/>
  <c r="O6" i="22"/>
  <c r="M151" i="47"/>
  <c r="M149" i="47" s="1"/>
  <c r="M157" i="47" s="1"/>
  <c r="G18" i="14"/>
  <c r="G7" i="9" s="1"/>
  <c r="G98" i="6" s="1"/>
  <c r="O32" i="29"/>
  <c r="O30" i="29" s="1"/>
  <c r="O38" i="29" s="1"/>
  <c r="O180" i="6"/>
  <c r="H180" i="6"/>
  <c r="H151" i="47"/>
  <c r="H149" i="47" s="1"/>
  <c r="H157" i="47" s="1"/>
  <c r="H81" i="47" s="1"/>
  <c r="D68" i="14"/>
  <c r="H6" i="22"/>
  <c r="O151" i="47"/>
  <c r="O149" i="47" s="1"/>
  <c r="O157" i="47" s="1"/>
  <c r="O201" i="47" s="1"/>
  <c r="D60" i="14"/>
  <c r="H62" i="14" s="1"/>
  <c r="H70" i="14" s="1"/>
  <c r="H72" i="14" s="1"/>
  <c r="M9" i="14"/>
  <c r="L32" i="29"/>
  <c r="L30" i="29" s="1"/>
  <c r="L38" i="29" s="1"/>
  <c r="J9" i="14"/>
  <c r="L6" i="22"/>
  <c r="L180" i="6"/>
  <c r="L151" i="47"/>
  <c r="L149" i="47" s="1"/>
  <c r="L157" i="47" s="1"/>
  <c r="L81" i="47" s="1"/>
  <c r="D41" i="14"/>
  <c r="J43" i="14" s="1"/>
  <c r="J51" i="14" s="1"/>
  <c r="D49" i="14"/>
  <c r="G151" i="47"/>
  <c r="G149" i="47" s="1"/>
  <c r="G157" i="47" s="1"/>
  <c r="G180" i="6"/>
  <c r="J151" i="47"/>
  <c r="J149" i="47" s="1"/>
  <c r="J157" i="47" s="1"/>
  <c r="J180" i="6"/>
  <c r="D87" i="14"/>
  <c r="F91" i="14"/>
  <c r="G91" i="14" s="1"/>
  <c r="H91" i="14" s="1"/>
  <c r="I91" i="14" s="1"/>
  <c r="F109" i="14"/>
  <c r="G109" i="14" s="1"/>
  <c r="H109" i="14" s="1"/>
  <c r="I109" i="14" s="1"/>
  <c r="D105" i="14"/>
  <c r="I151" i="47"/>
  <c r="I149" i="47" s="1"/>
  <c r="I157" i="47" s="1"/>
  <c r="I180" i="6"/>
  <c r="L32" i="14"/>
  <c r="D32" i="14" s="1"/>
  <c r="L9" i="14"/>
  <c r="N9" i="14"/>
  <c r="K151" i="47"/>
  <c r="K149" i="47" s="1"/>
  <c r="K157" i="47" s="1"/>
  <c r="K180" i="6"/>
  <c r="F55" i="11"/>
  <c r="F116" i="6"/>
  <c r="F118" i="6" s="1"/>
  <c r="G104" i="47"/>
  <c r="F12" i="42"/>
  <c r="F19" i="42"/>
  <c r="F8" i="26"/>
  <c r="I183" i="47"/>
  <c r="H187" i="47"/>
  <c r="H104" i="47" s="1"/>
  <c r="F144" i="47"/>
  <c r="F97" i="41"/>
  <c r="I185" i="47"/>
  <c r="J48" i="29"/>
  <c r="J167" i="47"/>
  <c r="F51" i="15"/>
  <c r="G54" i="19"/>
  <c r="F98" i="47"/>
  <c r="F134" i="47"/>
  <c r="F15" i="10"/>
  <c r="G9" i="11"/>
  <c r="G93" i="47"/>
  <c r="J27" i="18"/>
  <c r="J28" i="18" s="1"/>
  <c r="J29" i="18" s="1"/>
  <c r="J54" i="16"/>
  <c r="J52" i="16" s="1"/>
  <c r="K27" i="18"/>
  <c r="K28" i="18" s="1"/>
  <c r="K29" i="18" s="1"/>
  <c r="K54" i="16"/>
  <c r="L46" i="41"/>
  <c r="L105" i="41" s="1"/>
  <c r="L106" i="41" s="1"/>
  <c r="D98" i="41"/>
  <c r="K18" i="18"/>
  <c r="K19" i="18" s="1"/>
  <c r="K20" i="18" s="1"/>
  <c r="K53" i="16"/>
  <c r="F62" i="41"/>
  <c r="F108" i="41" s="1"/>
  <c r="E46" i="41"/>
  <c r="E105" i="41" s="1"/>
  <c r="E106" i="41" s="1"/>
  <c r="D17" i="16"/>
  <c r="H45" i="41"/>
  <c r="H46" i="41" s="1"/>
  <c r="H105" i="41" s="1"/>
  <c r="H106" i="41" s="1"/>
  <c r="F45" i="41"/>
  <c r="F46" i="41" s="1"/>
  <c r="F105" i="41" s="1"/>
  <c r="F106" i="41" s="1"/>
  <c r="F10" i="42"/>
  <c r="F11" i="42"/>
  <c r="H11" i="22"/>
  <c r="G11" i="22"/>
  <c r="F11" i="22"/>
  <c r="F18" i="22" s="1"/>
  <c r="G45" i="41"/>
  <c r="G46" i="41" s="1"/>
  <c r="G105" i="41" s="1"/>
  <c r="G106" i="41" s="1"/>
  <c r="D45" i="41"/>
  <c r="I46" i="41"/>
  <c r="I105" i="41" s="1"/>
  <c r="I106" i="41" s="1"/>
  <c r="D44" i="41"/>
  <c r="K7" i="15"/>
  <c r="G5" i="19"/>
  <c r="K12" i="17"/>
  <c r="J24" i="31"/>
  <c r="J24" i="9"/>
  <c r="G20" i="28"/>
  <c r="H21" i="17"/>
  <c r="G27" i="31"/>
  <c r="G26" i="31" s="1"/>
  <c r="G7" i="26"/>
  <c r="H6" i="26" s="1"/>
  <c r="H26" i="14"/>
  <c r="H28" i="14" s="1"/>
  <c r="F15" i="29"/>
  <c r="G44" i="15"/>
  <c r="G119" i="6" s="1"/>
  <c r="G15" i="11"/>
  <c r="G117" i="6" s="1"/>
  <c r="F6" i="28"/>
  <c r="F12" i="28" s="1"/>
  <c r="F13" i="28" s="1"/>
  <c r="M38" i="29"/>
  <c r="G6" i="22"/>
  <c r="G32" i="29"/>
  <c r="G30" i="29" s="1"/>
  <c r="G38" i="29" s="1"/>
  <c r="J6" i="22"/>
  <c r="J32" i="29"/>
  <c r="J30" i="29" s="1"/>
  <c r="J38" i="29" s="1"/>
  <c r="K6" i="22"/>
  <c r="K32" i="29"/>
  <c r="K30" i="29" s="1"/>
  <c r="K38" i="29" s="1"/>
  <c r="I6" i="22"/>
  <c r="I32" i="29"/>
  <c r="I30" i="29" s="1"/>
  <c r="I38" i="29" s="1"/>
  <c r="I5" i="11"/>
  <c r="I83" i="6" s="1"/>
  <c r="I5" i="28"/>
  <c r="H39" i="15"/>
  <c r="H45" i="15" s="1"/>
  <c r="H93" i="47" s="1"/>
  <c r="H26" i="15"/>
  <c r="F42" i="15"/>
  <c r="H40" i="15"/>
  <c r="H46" i="15" s="1"/>
  <c r="H27" i="15"/>
  <c r="H31" i="15" s="1"/>
  <c r="H15" i="28" s="1"/>
  <c r="H14" i="28" s="1"/>
  <c r="G38" i="15"/>
  <c r="G19" i="42" s="1"/>
  <c r="J99" i="13"/>
  <c r="I46" i="19"/>
  <c r="I44" i="19" s="1"/>
  <c r="K92" i="13"/>
  <c r="J25" i="19"/>
  <c r="J23" i="19" s="1"/>
  <c r="J58" i="19" s="1"/>
  <c r="I97" i="13"/>
  <c r="H41" i="19"/>
  <c r="H39" i="19" s="1"/>
  <c r="H62" i="19" s="1"/>
  <c r="I89" i="13"/>
  <c r="H17" i="19"/>
  <c r="H15" i="19" s="1"/>
  <c r="H56" i="19" s="1"/>
  <c r="F10" i="16"/>
  <c r="F12" i="16"/>
  <c r="G12" i="16" s="1"/>
  <c r="H12" i="16" s="1"/>
  <c r="J91" i="13"/>
  <c r="I21" i="19"/>
  <c r="I19" i="19" s="1"/>
  <c r="I57" i="19" s="1"/>
  <c r="I88" i="13"/>
  <c r="H13" i="19"/>
  <c r="H11" i="19" s="1"/>
  <c r="H55" i="19" s="1"/>
  <c r="J8" i="16"/>
  <c r="I29" i="18"/>
  <c r="H10" i="16"/>
  <c r="G10" i="16"/>
  <c r="M72" i="7"/>
  <c r="M70" i="7" s="1"/>
  <c r="L9" i="15"/>
  <c r="I62" i="17"/>
  <c r="I63" i="17" s="1"/>
  <c r="J61" i="17"/>
  <c r="K58" i="17" s="1"/>
  <c r="K52" i="17"/>
  <c r="L49" i="17" s="1"/>
  <c r="I54" i="17"/>
  <c r="J53" i="17"/>
  <c r="J54" i="17" s="1"/>
  <c r="H36" i="17"/>
  <c r="J34" i="17"/>
  <c r="K31" i="17" s="1"/>
  <c r="I35" i="17"/>
  <c r="K33" i="17"/>
  <c r="K23" i="17" s="1"/>
  <c r="J43" i="17"/>
  <c r="K40" i="17" s="1"/>
  <c r="I44" i="17"/>
  <c r="G16" i="15"/>
  <c r="I80" i="13"/>
  <c r="I12" i="15" s="1"/>
  <c r="I17" i="15" s="1"/>
  <c r="I81" i="13"/>
  <c r="I13" i="15" s="1"/>
  <c r="I18" i="15" s="1"/>
  <c r="L15" i="16"/>
  <c r="N71" i="7"/>
  <c r="N8" i="15" s="1"/>
  <c r="I26" i="14"/>
  <c r="I82" i="14"/>
  <c r="L41" i="16"/>
  <c r="M41" i="16" s="1"/>
  <c r="N41" i="16" s="1"/>
  <c r="O41" i="16" s="1"/>
  <c r="K39" i="16"/>
  <c r="L35" i="16"/>
  <c r="M35" i="16" s="1"/>
  <c r="N35" i="16" s="1"/>
  <c r="O35" i="16" s="1"/>
  <c r="L21" i="16"/>
  <c r="L27" i="16"/>
  <c r="L55" i="16" s="1"/>
  <c r="M29" i="16"/>
  <c r="N29" i="16" s="1"/>
  <c r="O29" i="16" s="1"/>
  <c r="F29" i="15"/>
  <c r="I100" i="14"/>
  <c r="I145" i="14"/>
  <c r="I154" i="14"/>
  <c r="I118" i="14"/>
  <c r="I136" i="14"/>
  <c r="J98" i="14"/>
  <c r="K99" i="14"/>
  <c r="J80" i="14"/>
  <c r="K81" i="14"/>
  <c r="K144" i="14"/>
  <c r="J143" i="14"/>
  <c r="K44" i="14"/>
  <c r="K90" i="14"/>
  <c r="J89" i="14"/>
  <c r="J152" i="14"/>
  <c r="K153" i="14"/>
  <c r="J26" i="14"/>
  <c r="J34" i="14" s="1"/>
  <c r="K27" i="14"/>
  <c r="K63" i="14"/>
  <c r="J107" i="14"/>
  <c r="K108" i="14"/>
  <c r="J134" i="14"/>
  <c r="K135" i="14"/>
  <c r="K117" i="14"/>
  <c r="J116" i="14"/>
  <c r="J125" i="14"/>
  <c r="K126" i="14"/>
  <c r="H138" i="6" l="1"/>
  <c r="K196" i="6"/>
  <c r="F35" i="51"/>
  <c r="G25" i="10"/>
  <c r="F101" i="47"/>
  <c r="F102" i="47" s="1"/>
  <c r="I25" i="17"/>
  <c r="F97" i="6"/>
  <c r="H25" i="29"/>
  <c r="H26" i="17"/>
  <c r="J89" i="47"/>
  <c r="J9" i="16"/>
  <c r="J82" i="6"/>
  <c r="J62" i="14"/>
  <c r="J10" i="14" s="1"/>
  <c r="J10" i="28" s="1"/>
  <c r="I62" i="14"/>
  <c r="I70" i="14" s="1"/>
  <c r="D70" i="14" s="1"/>
  <c r="M201" i="47"/>
  <c r="M81" i="47"/>
  <c r="H64" i="14"/>
  <c r="G97" i="6"/>
  <c r="O81" i="47"/>
  <c r="N201" i="47"/>
  <c r="H201" i="47"/>
  <c r="L201" i="47"/>
  <c r="H43" i="14"/>
  <c r="H10" i="14" s="1"/>
  <c r="H10" i="28" s="1"/>
  <c r="I43" i="14"/>
  <c r="I51" i="14" s="1"/>
  <c r="J81" i="47"/>
  <c r="J201" i="47"/>
  <c r="G81" i="47"/>
  <c r="G201" i="47"/>
  <c r="G92" i="47"/>
  <c r="G193" i="47" s="1"/>
  <c r="G6" i="19"/>
  <c r="G109" i="6"/>
  <c r="I81" i="47"/>
  <c r="I201" i="47"/>
  <c r="K81" i="47"/>
  <c r="K201" i="47"/>
  <c r="I186" i="47"/>
  <c r="I187" i="47" s="1"/>
  <c r="F127" i="47"/>
  <c r="F126" i="47" s="1"/>
  <c r="F167" i="6"/>
  <c r="H127" i="47"/>
  <c r="H126" i="47" s="1"/>
  <c r="H174" i="47" s="1"/>
  <c r="H167" i="6"/>
  <c r="G127" i="47"/>
  <c r="G126" i="47" s="1"/>
  <c r="G174" i="47" s="1"/>
  <c r="G167" i="6"/>
  <c r="G55" i="11"/>
  <c r="G116" i="6"/>
  <c r="G118" i="6" s="1"/>
  <c r="F26" i="42"/>
  <c r="F32" i="42"/>
  <c r="H188" i="47"/>
  <c r="H144" i="47" s="1"/>
  <c r="H166" i="47" s="1"/>
  <c r="H171" i="47" s="1"/>
  <c r="H205" i="47" s="1"/>
  <c r="F166" i="47"/>
  <c r="F171" i="47" s="1"/>
  <c r="F205" i="47" s="1"/>
  <c r="G97" i="41"/>
  <c r="J185" i="47"/>
  <c r="K48" i="29"/>
  <c r="K167" i="47"/>
  <c r="F16" i="10"/>
  <c r="F56" i="15"/>
  <c r="F133" i="47" s="1"/>
  <c r="F16" i="29"/>
  <c r="F135" i="47"/>
  <c r="G14" i="15"/>
  <c r="D83" i="41" s="1"/>
  <c r="G53" i="15"/>
  <c r="G54" i="15"/>
  <c r="L27" i="18"/>
  <c r="L28" i="18" s="1"/>
  <c r="L29" i="18" s="1"/>
  <c r="L54" i="16"/>
  <c r="H15" i="11"/>
  <c r="H117" i="6" s="1"/>
  <c r="H99" i="47"/>
  <c r="K8" i="16"/>
  <c r="K57" i="16"/>
  <c r="K52" i="16" s="1"/>
  <c r="H54" i="19"/>
  <c r="G134" i="47"/>
  <c r="G12" i="42"/>
  <c r="D46" i="41"/>
  <c r="D105" i="41" s="1"/>
  <c r="D106" i="41" s="1"/>
  <c r="E98" i="41"/>
  <c r="L18" i="18"/>
  <c r="L19" i="18" s="1"/>
  <c r="L20" i="18" s="1"/>
  <c r="L53" i="16"/>
  <c r="F18" i="42"/>
  <c r="G62" i="41"/>
  <c r="G108" i="41" s="1"/>
  <c r="F16" i="22"/>
  <c r="F176" i="6" s="1"/>
  <c r="J16" i="14"/>
  <c r="J94" i="47" s="1"/>
  <c r="H5" i="19"/>
  <c r="H24" i="17"/>
  <c r="H47" i="29"/>
  <c r="H52" i="29" s="1"/>
  <c r="L12" i="17"/>
  <c r="K24" i="31"/>
  <c r="K24" i="9"/>
  <c r="H20" i="28"/>
  <c r="G8" i="26"/>
  <c r="J30" i="32"/>
  <c r="H30" i="32"/>
  <c r="G30" i="32"/>
  <c r="N30" i="32"/>
  <c r="L30" i="32"/>
  <c r="O30" i="32"/>
  <c r="I30" i="32"/>
  <c r="M30" i="32"/>
  <c r="K30" i="32"/>
  <c r="H7" i="26"/>
  <c r="I6" i="26" s="1"/>
  <c r="I10" i="14"/>
  <c r="I10" i="28" s="1"/>
  <c r="I34" i="14"/>
  <c r="H34" i="14"/>
  <c r="G15" i="10"/>
  <c r="H44" i="15"/>
  <c r="H119" i="6" s="1"/>
  <c r="H9" i="11"/>
  <c r="G8" i="11"/>
  <c r="G8" i="28"/>
  <c r="F8" i="10"/>
  <c r="F168" i="6" s="1"/>
  <c r="F8" i="29"/>
  <c r="H8" i="10"/>
  <c r="H168" i="6" s="1"/>
  <c r="H8" i="29"/>
  <c r="H7" i="29" s="1"/>
  <c r="G8" i="10"/>
  <c r="G168" i="6" s="1"/>
  <c r="G8" i="29"/>
  <c r="G7" i="29" s="1"/>
  <c r="F17" i="28"/>
  <c r="J5" i="11"/>
  <c r="J83" i="6" s="1"/>
  <c r="J5" i="28"/>
  <c r="I40" i="15"/>
  <c r="I46" i="15" s="1"/>
  <c r="I27" i="15"/>
  <c r="I31" i="15" s="1"/>
  <c r="I15" i="28" s="1"/>
  <c r="I14" i="28" s="1"/>
  <c r="I39" i="15"/>
  <c r="I26" i="15"/>
  <c r="H38" i="15"/>
  <c r="H19" i="42" s="1"/>
  <c r="J89" i="13"/>
  <c r="I17" i="19"/>
  <c r="I15" i="19" s="1"/>
  <c r="I56" i="19" s="1"/>
  <c r="J97" i="13"/>
  <c r="I41" i="19"/>
  <c r="I39" i="19" s="1"/>
  <c r="I62" i="19" s="1"/>
  <c r="L92" i="13"/>
  <c r="K25" i="19"/>
  <c r="K23" i="19" s="1"/>
  <c r="K58" i="19" s="1"/>
  <c r="K99" i="13"/>
  <c r="J46" i="19"/>
  <c r="J44" i="19" s="1"/>
  <c r="I11" i="22"/>
  <c r="K91" i="13"/>
  <c r="J21" i="19"/>
  <c r="J19" i="19" s="1"/>
  <c r="J57" i="19" s="1"/>
  <c r="J88" i="13"/>
  <c r="I13" i="19"/>
  <c r="I11" i="19" s="1"/>
  <c r="I55" i="19" s="1"/>
  <c r="L7" i="15"/>
  <c r="N72" i="7"/>
  <c r="N70" i="7" s="1"/>
  <c r="M9" i="15"/>
  <c r="J44" i="17"/>
  <c r="J45" i="17" s="1"/>
  <c r="K61" i="17"/>
  <c r="L58" i="17" s="1"/>
  <c r="J62" i="17"/>
  <c r="L52" i="17"/>
  <c r="M49" i="17" s="1"/>
  <c r="K53" i="17"/>
  <c r="K54" i="17" s="1"/>
  <c r="J35" i="17"/>
  <c r="I45" i="17"/>
  <c r="I36" i="17"/>
  <c r="L33" i="17"/>
  <c r="L23" i="17" s="1"/>
  <c r="K34" i="17"/>
  <c r="L31" i="17" s="1"/>
  <c r="J145" i="14"/>
  <c r="K43" i="17"/>
  <c r="L40" i="17" s="1"/>
  <c r="D35" i="16"/>
  <c r="J81" i="13"/>
  <c r="J13" i="15" s="1"/>
  <c r="J18" i="15" s="1"/>
  <c r="H16" i="15"/>
  <c r="H25" i="15"/>
  <c r="H30" i="15"/>
  <c r="H9" i="28" s="1"/>
  <c r="J80" i="13"/>
  <c r="J12" i="15" s="1"/>
  <c r="J17" i="15" s="1"/>
  <c r="G25" i="15"/>
  <c r="G30" i="15"/>
  <c r="G9" i="28" s="1"/>
  <c r="O71" i="7"/>
  <c r="O8" i="15" s="1"/>
  <c r="J82" i="14"/>
  <c r="I12" i="16"/>
  <c r="I10" i="16"/>
  <c r="D41" i="16"/>
  <c r="L39" i="16"/>
  <c r="L57" i="16" s="1"/>
  <c r="L33" i="16"/>
  <c r="L56" i="16" s="1"/>
  <c r="M21" i="16"/>
  <c r="M39" i="16"/>
  <c r="M57" i="16" s="1"/>
  <c r="M27" i="16"/>
  <c r="M55" i="16" s="1"/>
  <c r="M33" i="16"/>
  <c r="M56" i="16" s="1"/>
  <c r="D29" i="16"/>
  <c r="J154" i="14"/>
  <c r="J136" i="14"/>
  <c r="J118" i="14"/>
  <c r="K152" i="14"/>
  <c r="L153" i="14"/>
  <c r="K107" i="14"/>
  <c r="L108" i="14"/>
  <c r="K98" i="14"/>
  <c r="L99" i="14"/>
  <c r="K26" i="14"/>
  <c r="K34" i="14" s="1"/>
  <c r="K16" i="14" s="1"/>
  <c r="K94" i="47" s="1"/>
  <c r="L27" i="14"/>
  <c r="K143" i="14"/>
  <c r="L144" i="14"/>
  <c r="K80" i="14"/>
  <c r="L81" i="14"/>
  <c r="K89" i="14"/>
  <c r="L90" i="14"/>
  <c r="J91" i="14"/>
  <c r="K116" i="14"/>
  <c r="L117" i="14"/>
  <c r="K134" i="14"/>
  <c r="L135" i="14"/>
  <c r="I28" i="14"/>
  <c r="K62" i="14"/>
  <c r="L63" i="14"/>
  <c r="J109" i="14"/>
  <c r="J100" i="14"/>
  <c r="K125" i="14"/>
  <c r="L126" i="14"/>
  <c r="K43" i="14"/>
  <c r="L44" i="14"/>
  <c r="I138" i="6" l="1"/>
  <c r="L196" i="6"/>
  <c r="G35" i="51"/>
  <c r="H25" i="10"/>
  <c r="I64" i="14"/>
  <c r="J64" i="14" s="1"/>
  <c r="K64" i="14" s="1"/>
  <c r="I16" i="14"/>
  <c r="I94" i="47" s="1"/>
  <c r="I25" i="29"/>
  <c r="I47" i="29" s="1"/>
  <c r="I52" i="29" s="1"/>
  <c r="I26" i="17"/>
  <c r="J25" i="17"/>
  <c r="I72" i="14"/>
  <c r="J72" i="14" s="1"/>
  <c r="K72" i="14" s="1"/>
  <c r="L72" i="14" s="1"/>
  <c r="M72" i="14" s="1"/>
  <c r="N72" i="14" s="1"/>
  <c r="O72" i="14" s="1"/>
  <c r="K89" i="47"/>
  <c r="K9" i="16"/>
  <c r="K11" i="22" s="1"/>
  <c r="K82" i="6"/>
  <c r="G30" i="51"/>
  <c r="H93" i="6"/>
  <c r="H51" i="14"/>
  <c r="H16" i="14" s="1"/>
  <c r="H45" i="14"/>
  <c r="I45" i="14" s="1"/>
  <c r="J45" i="14" s="1"/>
  <c r="G90" i="47"/>
  <c r="G96" i="47" s="1"/>
  <c r="G97" i="47" s="1"/>
  <c r="G139" i="47"/>
  <c r="H92" i="47"/>
  <c r="H139" i="47" s="1"/>
  <c r="H6" i="19"/>
  <c r="H109" i="6"/>
  <c r="J183" i="47"/>
  <c r="J186" i="47" s="1"/>
  <c r="K183" i="47" s="1"/>
  <c r="I127" i="47"/>
  <c r="I126" i="47" s="1"/>
  <c r="I174" i="47" s="1"/>
  <c r="I167" i="6"/>
  <c r="H55" i="11"/>
  <c r="H116" i="6"/>
  <c r="H118" i="6" s="1"/>
  <c r="G54" i="11"/>
  <c r="G110" i="6"/>
  <c r="F14" i="29"/>
  <c r="F14" i="10"/>
  <c r="H97" i="41"/>
  <c r="K185" i="47"/>
  <c r="L48" i="29"/>
  <c r="L167" i="47"/>
  <c r="I104" i="47"/>
  <c r="I188" i="47"/>
  <c r="H14" i="15"/>
  <c r="E83" i="41" s="1"/>
  <c r="H53" i="15"/>
  <c r="H54" i="15"/>
  <c r="G51" i="15"/>
  <c r="G56" i="15" s="1"/>
  <c r="G133" i="47" s="1"/>
  <c r="I54" i="19"/>
  <c r="H62" i="41"/>
  <c r="H108" i="41" s="1"/>
  <c r="K5" i="28"/>
  <c r="K5" i="11"/>
  <c r="K83" i="6" s="1"/>
  <c r="I15" i="11"/>
  <c r="I117" i="6" s="1"/>
  <c r="I99" i="47"/>
  <c r="I98" i="47" s="1"/>
  <c r="H98" i="47"/>
  <c r="M27" i="18"/>
  <c r="M28" i="18" s="1"/>
  <c r="M29" i="18" s="1"/>
  <c r="M54" i="16"/>
  <c r="H134" i="47"/>
  <c r="H12" i="42"/>
  <c r="L52" i="16"/>
  <c r="F98" i="41"/>
  <c r="K10" i="11"/>
  <c r="J10" i="11"/>
  <c r="F20" i="10"/>
  <c r="F19" i="22"/>
  <c r="F20" i="29"/>
  <c r="F6" i="42"/>
  <c r="G7" i="19"/>
  <c r="G10" i="42"/>
  <c r="G11" i="42"/>
  <c r="I5" i="19"/>
  <c r="M12" i="17"/>
  <c r="L24" i="31"/>
  <c r="L24" i="9"/>
  <c r="I20" i="28"/>
  <c r="I21" i="17"/>
  <c r="H27" i="31"/>
  <c r="H26" i="31" s="1"/>
  <c r="H8" i="26"/>
  <c r="G13" i="22"/>
  <c r="G18" i="22" s="1"/>
  <c r="H36" i="14"/>
  <c r="I36" i="14" s="1"/>
  <c r="I7" i="26"/>
  <c r="I8" i="26" s="1"/>
  <c r="G15" i="29"/>
  <c r="H15" i="29"/>
  <c r="H15" i="10"/>
  <c r="I38" i="15"/>
  <c r="I19" i="42" s="1"/>
  <c r="L8" i="16"/>
  <c r="I45" i="15"/>
  <c r="G6" i="28"/>
  <c r="G12" i="28" s="1"/>
  <c r="H8" i="11"/>
  <c r="H8" i="28"/>
  <c r="I8" i="10"/>
  <c r="I168" i="6" s="1"/>
  <c r="I8" i="29"/>
  <c r="I7" i="29" s="1"/>
  <c r="G55" i="29"/>
  <c r="H55" i="29"/>
  <c r="F7" i="29"/>
  <c r="F18" i="28"/>
  <c r="G42" i="15"/>
  <c r="J40" i="15"/>
  <c r="J46" i="15" s="1"/>
  <c r="J27" i="15"/>
  <c r="J39" i="15"/>
  <c r="J45" i="15" s="1"/>
  <c r="J93" i="47" s="1"/>
  <c r="J26" i="15"/>
  <c r="H42" i="15"/>
  <c r="L99" i="13"/>
  <c r="K46" i="19"/>
  <c r="K44" i="19" s="1"/>
  <c r="M92" i="13"/>
  <c r="L25" i="19"/>
  <c r="L23" i="19" s="1"/>
  <c r="L58" i="19" s="1"/>
  <c r="K97" i="13"/>
  <c r="J41" i="19"/>
  <c r="J39" i="19" s="1"/>
  <c r="J62" i="19" s="1"/>
  <c r="K89" i="13"/>
  <c r="J17" i="19"/>
  <c r="J15" i="19" s="1"/>
  <c r="J56" i="19" s="1"/>
  <c r="J11" i="22"/>
  <c r="L91" i="13"/>
  <c r="K21" i="19"/>
  <c r="K19" i="19" s="1"/>
  <c r="K57" i="19" s="1"/>
  <c r="J10" i="16"/>
  <c r="J12" i="16"/>
  <c r="K88" i="13"/>
  <c r="J13" i="19"/>
  <c r="J11" i="19" s="1"/>
  <c r="J55" i="19" s="1"/>
  <c r="M15" i="16"/>
  <c r="K145" i="14"/>
  <c r="G29" i="15"/>
  <c r="H29" i="15"/>
  <c r="O72" i="7"/>
  <c r="O70" i="7" s="1"/>
  <c r="N9" i="15"/>
  <c r="M7" i="15"/>
  <c r="J63" i="17"/>
  <c r="K62" i="17"/>
  <c r="K63" i="17" s="1"/>
  <c r="L61" i="17"/>
  <c r="M58" i="17" s="1"/>
  <c r="L53" i="17"/>
  <c r="L54" i="17" s="1"/>
  <c r="M52" i="17"/>
  <c r="N49" i="17" s="1"/>
  <c r="J36" i="17"/>
  <c r="K44" i="17"/>
  <c r="K45" i="17" s="1"/>
  <c r="L34" i="17"/>
  <c r="M31" i="17" s="1"/>
  <c r="K35" i="17"/>
  <c r="K25" i="17" s="1"/>
  <c r="L43" i="17"/>
  <c r="M40" i="17" s="1"/>
  <c r="M33" i="17"/>
  <c r="M23" i="17" s="1"/>
  <c r="K45" i="14"/>
  <c r="K81" i="13"/>
  <c r="K13" i="15" s="1"/>
  <c r="K18" i="15" s="1"/>
  <c r="K80" i="13"/>
  <c r="K12" i="15" s="1"/>
  <c r="K17" i="15" s="1"/>
  <c r="I25" i="15"/>
  <c r="I16" i="15"/>
  <c r="P71" i="7"/>
  <c r="K82" i="14"/>
  <c r="N33" i="16"/>
  <c r="N56" i="16" s="1"/>
  <c r="N15" i="16"/>
  <c r="N39" i="16"/>
  <c r="N57" i="16" s="1"/>
  <c r="N27" i="16"/>
  <c r="N55" i="16" s="1"/>
  <c r="N21" i="16"/>
  <c r="K109" i="14"/>
  <c r="K154" i="14"/>
  <c r="K136" i="14"/>
  <c r="K118" i="14"/>
  <c r="K10" i="14"/>
  <c r="K10" i="28" s="1"/>
  <c r="K91" i="14"/>
  <c r="L62" i="14"/>
  <c r="M63" i="14"/>
  <c r="J28" i="14"/>
  <c r="M44" i="14"/>
  <c r="L43" i="14"/>
  <c r="L107" i="14"/>
  <c r="M108" i="14"/>
  <c r="L152" i="14"/>
  <c r="M153" i="14"/>
  <c r="M90" i="14"/>
  <c r="L89" i="14"/>
  <c r="L80" i="14"/>
  <c r="M81" i="14"/>
  <c r="L134" i="14"/>
  <c r="M135" i="14"/>
  <c r="M144" i="14"/>
  <c r="L143" i="14"/>
  <c r="L26" i="14"/>
  <c r="L34" i="14" s="1"/>
  <c r="L16" i="14" s="1"/>
  <c r="L94" i="47" s="1"/>
  <c r="M27" i="14"/>
  <c r="L98" i="14"/>
  <c r="M99" i="14"/>
  <c r="L125" i="14"/>
  <c r="M126" i="14"/>
  <c r="M117" i="14"/>
  <c r="L116" i="14"/>
  <c r="K100" i="14"/>
  <c r="J26" i="17" l="1"/>
  <c r="J25" i="10" s="1"/>
  <c r="J138" i="6"/>
  <c r="K138" i="6"/>
  <c r="M196" i="6"/>
  <c r="H35" i="51"/>
  <c r="I25" i="10"/>
  <c r="L89" i="47"/>
  <c r="L9" i="16"/>
  <c r="L82" i="6"/>
  <c r="I10" i="11"/>
  <c r="G101" i="47"/>
  <c r="G102" i="47" s="1"/>
  <c r="H193" i="47"/>
  <c r="H94" i="47"/>
  <c r="H90" i="47" s="1"/>
  <c r="H96" i="47" s="1"/>
  <c r="H97" i="47" s="1"/>
  <c r="H10" i="11"/>
  <c r="F71" i="6"/>
  <c r="H53" i="14"/>
  <c r="I53" i="14" s="1"/>
  <c r="J53" i="14" s="1"/>
  <c r="K53" i="14" s="1"/>
  <c r="L53" i="14" s="1"/>
  <c r="M53" i="14" s="1"/>
  <c r="N53" i="14" s="1"/>
  <c r="O53" i="14" s="1"/>
  <c r="D51" i="14"/>
  <c r="G132" i="47"/>
  <c r="G113" i="6"/>
  <c r="I6" i="19"/>
  <c r="I109" i="6"/>
  <c r="J187" i="47"/>
  <c r="J188" i="47" s="1"/>
  <c r="J144" i="47" s="1"/>
  <c r="J166" i="47" s="1"/>
  <c r="J171" i="47" s="1"/>
  <c r="J205" i="47" s="1"/>
  <c r="F194" i="47"/>
  <c r="F177" i="6"/>
  <c r="J127" i="47"/>
  <c r="J126" i="47" s="1"/>
  <c r="J174" i="47" s="1"/>
  <c r="J167" i="6"/>
  <c r="H54" i="11"/>
  <c r="H110" i="6"/>
  <c r="H26" i="42"/>
  <c r="H32" i="42"/>
  <c r="G26" i="42"/>
  <c r="G32" i="42"/>
  <c r="M53" i="17"/>
  <c r="M54" i="17" s="1"/>
  <c r="K186" i="47"/>
  <c r="L183" i="47" s="1"/>
  <c r="I144" i="47"/>
  <c r="I97" i="41"/>
  <c r="L185" i="47"/>
  <c r="M48" i="29"/>
  <c r="M167" i="47"/>
  <c r="G16" i="29"/>
  <c r="G16" i="10"/>
  <c r="G135" i="47"/>
  <c r="I14" i="15"/>
  <c r="F83" i="41" s="1"/>
  <c r="I53" i="15"/>
  <c r="I54" i="15"/>
  <c r="H51" i="15"/>
  <c r="H16" i="10" s="1"/>
  <c r="G14" i="29"/>
  <c r="G14" i="10"/>
  <c r="K12" i="16"/>
  <c r="K10" i="16"/>
  <c r="I134" i="47"/>
  <c r="I12" i="42"/>
  <c r="J54" i="19"/>
  <c r="N27" i="18"/>
  <c r="N28" i="18" s="1"/>
  <c r="N29" i="18" s="1"/>
  <c r="N54" i="16"/>
  <c r="I8" i="11"/>
  <c r="I92" i="47"/>
  <c r="I193" i="47" s="1"/>
  <c r="I44" i="15"/>
  <c r="I119" i="6" s="1"/>
  <c r="I93" i="47"/>
  <c r="J15" i="11"/>
  <c r="J117" i="6" s="1"/>
  <c r="J99" i="47"/>
  <c r="J98" i="47" s="1"/>
  <c r="G13" i="10"/>
  <c r="G98" i="41"/>
  <c r="M18" i="18"/>
  <c r="M19" i="18" s="1"/>
  <c r="M53" i="16"/>
  <c r="N18" i="18"/>
  <c r="N19" i="18" s="1"/>
  <c r="N20" i="18" s="1"/>
  <c r="N53" i="16"/>
  <c r="L10" i="11"/>
  <c r="G18" i="42"/>
  <c r="H10" i="42"/>
  <c r="H11" i="42"/>
  <c r="G13" i="29"/>
  <c r="H7" i="19"/>
  <c r="L5" i="28"/>
  <c r="I62" i="41"/>
  <c r="J5" i="19"/>
  <c r="I9" i="11"/>
  <c r="G17" i="28"/>
  <c r="G18" i="28" s="1"/>
  <c r="G13" i="28"/>
  <c r="G16" i="22"/>
  <c r="G176" i="6" s="1"/>
  <c r="I8" i="28"/>
  <c r="N12" i="17"/>
  <c r="M24" i="31"/>
  <c r="M24" i="9"/>
  <c r="I24" i="17"/>
  <c r="J20" i="28"/>
  <c r="J25" i="29"/>
  <c r="H18" i="14"/>
  <c r="H13" i="22"/>
  <c r="H18" i="22" s="1"/>
  <c r="J6" i="26"/>
  <c r="J7" i="26"/>
  <c r="K6" i="26" s="1"/>
  <c r="J36" i="14"/>
  <c r="I18" i="14"/>
  <c r="I15" i="29"/>
  <c r="I15" i="10"/>
  <c r="L5" i="11"/>
  <c r="L83" i="6" s="1"/>
  <c r="J38" i="15"/>
  <c r="J19" i="42" s="1"/>
  <c r="J44" i="15"/>
  <c r="J119" i="6" s="1"/>
  <c r="J9" i="11"/>
  <c r="H6" i="28"/>
  <c r="H12" i="28" s="1"/>
  <c r="I55" i="29"/>
  <c r="J8" i="10"/>
  <c r="J168" i="6" s="1"/>
  <c r="J8" i="29"/>
  <c r="K27" i="15"/>
  <c r="K31" i="15" s="1"/>
  <c r="K15" i="28" s="1"/>
  <c r="K14" i="28" s="1"/>
  <c r="K40" i="15"/>
  <c r="K46" i="15" s="1"/>
  <c r="I42" i="15"/>
  <c r="K39" i="15"/>
  <c r="K26" i="15"/>
  <c r="L89" i="13"/>
  <c r="K17" i="19"/>
  <c r="K15" i="19" s="1"/>
  <c r="K56" i="19" s="1"/>
  <c r="L97" i="13"/>
  <c r="K41" i="19"/>
  <c r="K39" i="19" s="1"/>
  <c r="K62" i="19" s="1"/>
  <c r="N92" i="13"/>
  <c r="M25" i="19"/>
  <c r="M23" i="19" s="1"/>
  <c r="M58" i="19" s="1"/>
  <c r="M99" i="13"/>
  <c r="L46" i="19"/>
  <c r="L44" i="19" s="1"/>
  <c r="L145" i="14"/>
  <c r="M8" i="16"/>
  <c r="M91" i="13"/>
  <c r="L21" i="19"/>
  <c r="L19" i="19" s="1"/>
  <c r="L57" i="19" s="1"/>
  <c r="L88" i="13"/>
  <c r="K13" i="19"/>
  <c r="K11" i="19" s="1"/>
  <c r="K55" i="19" s="1"/>
  <c r="N7" i="15"/>
  <c r="P72" i="7"/>
  <c r="O9" i="15"/>
  <c r="L62" i="17"/>
  <c r="L63" i="17" s="1"/>
  <c r="M61" i="17"/>
  <c r="N58" i="17" s="1"/>
  <c r="N52" i="17"/>
  <c r="O49" i="17" s="1"/>
  <c r="L44" i="17"/>
  <c r="L45" i="17" s="1"/>
  <c r="L35" i="17"/>
  <c r="K36" i="17"/>
  <c r="M34" i="17"/>
  <c r="N31" i="17" s="1"/>
  <c r="M43" i="17"/>
  <c r="N40" i="17" s="1"/>
  <c r="N33" i="17"/>
  <c r="N23" i="17" s="1"/>
  <c r="L45" i="14"/>
  <c r="L81" i="13"/>
  <c r="L13" i="15" s="1"/>
  <c r="L18" i="15" s="1"/>
  <c r="I30" i="15"/>
  <c r="I9" i="28" s="1"/>
  <c r="J30" i="15"/>
  <c r="J9" i="28" s="1"/>
  <c r="L80" i="13"/>
  <c r="L12" i="15" s="1"/>
  <c r="L17" i="15" s="1"/>
  <c r="J16" i="15"/>
  <c r="J25" i="15"/>
  <c r="J31" i="15"/>
  <c r="J15" i="28" s="1"/>
  <c r="L109" i="14"/>
  <c r="O39" i="16"/>
  <c r="O57" i="16" s="1"/>
  <c r="D57" i="16" s="1"/>
  <c r="O27" i="16"/>
  <c r="O55" i="16" s="1"/>
  <c r="D55" i="16" s="1"/>
  <c r="O15" i="16"/>
  <c r="O33" i="16"/>
  <c r="O56" i="16" s="1"/>
  <c r="D56" i="16" s="1"/>
  <c r="O21" i="16"/>
  <c r="N8" i="16"/>
  <c r="L154" i="14"/>
  <c r="L91" i="14"/>
  <c r="L64" i="14"/>
  <c r="L10" i="14"/>
  <c r="L10" i="28" s="1"/>
  <c r="M98" i="14"/>
  <c r="N99" i="14"/>
  <c r="M134" i="14"/>
  <c r="N135" i="14"/>
  <c r="M80" i="14"/>
  <c r="N81" i="14"/>
  <c r="L136" i="14"/>
  <c r="M89" i="14"/>
  <c r="N90" i="14"/>
  <c r="K28" i="14"/>
  <c r="M43" i="14"/>
  <c r="N44" i="14"/>
  <c r="L100" i="14"/>
  <c r="M26" i="14"/>
  <c r="M34" i="14" s="1"/>
  <c r="M16" i="14" s="1"/>
  <c r="M94" i="47" s="1"/>
  <c r="N27" i="14"/>
  <c r="L118" i="14"/>
  <c r="M62" i="14"/>
  <c r="N63" i="14"/>
  <c r="M116" i="14"/>
  <c r="N117" i="14"/>
  <c r="M152" i="14"/>
  <c r="N153" i="14"/>
  <c r="M125" i="14"/>
  <c r="N126" i="14"/>
  <c r="M107" i="14"/>
  <c r="N108" i="14"/>
  <c r="M143" i="14"/>
  <c r="N144" i="14"/>
  <c r="L82" i="14"/>
  <c r="I35" i="51" l="1"/>
  <c r="N196" i="6"/>
  <c r="K25" i="29"/>
  <c r="K47" i="29" s="1"/>
  <c r="K52" i="29" s="1"/>
  <c r="K26" i="17"/>
  <c r="N89" i="47"/>
  <c r="N9" i="16"/>
  <c r="N82" i="6"/>
  <c r="L25" i="17"/>
  <c r="M89" i="47"/>
  <c r="M9" i="16"/>
  <c r="M82" i="6"/>
  <c r="H30" i="51"/>
  <c r="I93" i="6"/>
  <c r="H101" i="47"/>
  <c r="H102" i="47" s="1"/>
  <c r="G114" i="6"/>
  <c r="H132" i="47"/>
  <c r="H113" i="6"/>
  <c r="J6" i="19"/>
  <c r="J13" i="22" s="1"/>
  <c r="J18" i="22" s="1"/>
  <c r="J109" i="6"/>
  <c r="J104" i="47"/>
  <c r="F195" i="47"/>
  <c r="K127" i="47"/>
  <c r="K126" i="47" s="1"/>
  <c r="K174" i="47" s="1"/>
  <c r="K167" i="6"/>
  <c r="I54" i="11"/>
  <c r="I110" i="6"/>
  <c r="J55" i="11"/>
  <c r="J116" i="6"/>
  <c r="J118" i="6" s="1"/>
  <c r="I55" i="11"/>
  <c r="I116" i="6"/>
  <c r="I118" i="6" s="1"/>
  <c r="I7" i="9"/>
  <c r="I98" i="6" s="1"/>
  <c r="I97" i="6"/>
  <c r="H7" i="9"/>
  <c r="H98" i="6" s="1"/>
  <c r="H97" i="6"/>
  <c r="K187" i="47"/>
  <c r="K188" i="47" s="1"/>
  <c r="K144" i="47" s="1"/>
  <c r="K166" i="47" s="1"/>
  <c r="K171" i="47" s="1"/>
  <c r="K205" i="47" s="1"/>
  <c r="I32" i="42"/>
  <c r="I26" i="42"/>
  <c r="H16" i="29"/>
  <c r="J97" i="41"/>
  <c r="M185" i="47"/>
  <c r="I166" i="47"/>
  <c r="I171" i="47" s="1"/>
  <c r="I205" i="47" s="1"/>
  <c r="N48" i="29"/>
  <c r="N167" i="47"/>
  <c r="L186" i="47"/>
  <c r="M183" i="47" s="1"/>
  <c r="H56" i="15"/>
  <c r="H133" i="47" s="1"/>
  <c r="I51" i="15"/>
  <c r="I16" i="10" s="1"/>
  <c r="G71" i="6"/>
  <c r="H135" i="47"/>
  <c r="N52" i="16"/>
  <c r="J14" i="15"/>
  <c r="G83" i="41" s="1"/>
  <c r="J54" i="15"/>
  <c r="J53" i="15"/>
  <c r="K8" i="10"/>
  <c r="K168" i="6" s="1"/>
  <c r="K8" i="29"/>
  <c r="K7" i="29" s="1"/>
  <c r="K55" i="29" s="1"/>
  <c r="K54" i="19"/>
  <c r="O27" i="18"/>
  <c r="O28" i="18" s="1"/>
  <c r="O29" i="18" s="1"/>
  <c r="O54" i="16"/>
  <c r="D54" i="16" s="1"/>
  <c r="I139" i="47"/>
  <c r="I90" i="47"/>
  <c r="I96" i="47" s="1"/>
  <c r="K15" i="11"/>
  <c r="K117" i="6" s="1"/>
  <c r="K99" i="47"/>
  <c r="J134" i="47"/>
  <c r="J12" i="42"/>
  <c r="J92" i="47"/>
  <c r="J193" i="47" s="1"/>
  <c r="H13" i="10"/>
  <c r="H98" i="41"/>
  <c r="O18" i="18"/>
  <c r="O19" i="18" s="1"/>
  <c r="O20" i="18" s="1"/>
  <c r="O53" i="16"/>
  <c r="M52" i="16"/>
  <c r="K62" i="41"/>
  <c r="K108" i="41" s="1"/>
  <c r="H18" i="42"/>
  <c r="M10" i="11"/>
  <c r="J62" i="41"/>
  <c r="J108" i="41" s="1"/>
  <c r="H13" i="29"/>
  <c r="G20" i="29"/>
  <c r="G6" i="42"/>
  <c r="L11" i="22"/>
  <c r="I10" i="42"/>
  <c r="I11" i="42"/>
  <c r="I13" i="22"/>
  <c r="I16" i="22" s="1"/>
  <c r="I176" i="6" s="1"/>
  <c r="I108" i="41"/>
  <c r="K5" i="19"/>
  <c r="O7" i="15"/>
  <c r="I6" i="28"/>
  <c r="I12" i="28" s="1"/>
  <c r="I13" i="28" s="1"/>
  <c r="H17" i="28"/>
  <c r="H18" i="28" s="1"/>
  <c r="H13" i="28"/>
  <c r="I7" i="19"/>
  <c r="H16" i="22"/>
  <c r="H176" i="6" s="1"/>
  <c r="G19" i="22"/>
  <c r="G20" i="10"/>
  <c r="J47" i="29"/>
  <c r="J52" i="29" s="1"/>
  <c r="O12" i="17"/>
  <c r="N24" i="31"/>
  <c r="N24" i="9"/>
  <c r="J21" i="17"/>
  <c r="I27" i="31"/>
  <c r="I26" i="31" s="1"/>
  <c r="K20" i="28"/>
  <c r="J8" i="26"/>
  <c r="K7" i="26"/>
  <c r="L6" i="26" s="1"/>
  <c r="J18" i="14"/>
  <c r="K36" i="14"/>
  <c r="K38" i="15"/>
  <c r="K19" i="42" s="1"/>
  <c r="J15" i="29"/>
  <c r="J15" i="10"/>
  <c r="L12" i="16"/>
  <c r="L10" i="16"/>
  <c r="J8" i="11"/>
  <c r="J8" i="28"/>
  <c r="J14" i="28"/>
  <c r="K45" i="15"/>
  <c r="K93" i="47" s="1"/>
  <c r="J7" i="29"/>
  <c r="M5" i="11"/>
  <c r="M83" i="6" s="1"/>
  <c r="M5" i="28"/>
  <c r="N5" i="11"/>
  <c r="N83" i="6" s="1"/>
  <c r="N5" i="28"/>
  <c r="L40" i="15"/>
  <c r="L46" i="15" s="1"/>
  <c r="L99" i="47" s="1"/>
  <c r="L98" i="47" s="1"/>
  <c r="L27" i="15"/>
  <c r="J42" i="15"/>
  <c r="L39" i="15"/>
  <c r="L26" i="15"/>
  <c r="N99" i="13"/>
  <c r="M46" i="19"/>
  <c r="M44" i="19" s="1"/>
  <c r="O92" i="13"/>
  <c r="N25" i="19"/>
  <c r="N23" i="19" s="1"/>
  <c r="N58" i="19" s="1"/>
  <c r="M97" i="13"/>
  <c r="L41" i="19"/>
  <c r="L39" i="19" s="1"/>
  <c r="L62" i="19" s="1"/>
  <c r="M89" i="13"/>
  <c r="L17" i="19"/>
  <c r="L15" i="19" s="1"/>
  <c r="L56" i="19" s="1"/>
  <c r="M145" i="14"/>
  <c r="N91" i="13"/>
  <c r="M21" i="19"/>
  <c r="M19" i="19" s="1"/>
  <c r="M57" i="19" s="1"/>
  <c r="M88" i="13"/>
  <c r="L13" i="19"/>
  <c r="L11" i="19" s="1"/>
  <c r="L55" i="19" s="1"/>
  <c r="M20" i="18"/>
  <c r="P70" i="7"/>
  <c r="C58" i="1" s="1"/>
  <c r="I29" i="15"/>
  <c r="N61" i="17"/>
  <c r="O58" i="17" s="1"/>
  <c r="M62" i="17"/>
  <c r="M63" i="17" s="1"/>
  <c r="N53" i="17"/>
  <c r="N54" i="17" s="1"/>
  <c r="O52" i="17"/>
  <c r="M35" i="17"/>
  <c r="M44" i="17"/>
  <c r="N43" i="17"/>
  <c r="O40" i="17" s="1"/>
  <c r="N34" i="17"/>
  <c r="O31" i="17" s="1"/>
  <c r="O33" i="17"/>
  <c r="O23" i="17" s="1"/>
  <c r="L36" i="17"/>
  <c r="L26" i="17" s="1"/>
  <c r="L25" i="10" s="1"/>
  <c r="M45" i="14"/>
  <c r="J29" i="15"/>
  <c r="M81" i="13"/>
  <c r="M13" i="15" s="1"/>
  <c r="M18" i="15" s="1"/>
  <c r="D39" i="16"/>
  <c r="M80" i="13"/>
  <c r="M12" i="15" s="1"/>
  <c r="M17" i="15" s="1"/>
  <c r="D21" i="16"/>
  <c r="K25" i="15"/>
  <c r="K16" i="15"/>
  <c r="K30" i="15"/>
  <c r="K9" i="28" s="1"/>
  <c r="M109" i="14"/>
  <c r="O8" i="16"/>
  <c r="D33" i="16"/>
  <c r="D27" i="16"/>
  <c r="M100" i="14"/>
  <c r="D15" i="16"/>
  <c r="M154" i="14"/>
  <c r="M91" i="14"/>
  <c r="M64" i="14"/>
  <c r="M118" i="14"/>
  <c r="N43" i="14"/>
  <c r="O44" i="14"/>
  <c r="M82" i="14"/>
  <c r="N89" i="14"/>
  <c r="O90" i="14"/>
  <c r="O126" i="14"/>
  <c r="N125" i="14"/>
  <c r="N134" i="14"/>
  <c r="O135" i="14"/>
  <c r="L28" i="14"/>
  <c r="N116" i="14"/>
  <c r="O117" i="14"/>
  <c r="N143" i="14"/>
  <c r="O144" i="14"/>
  <c r="O63" i="14"/>
  <c r="N62" i="14"/>
  <c r="O153" i="14"/>
  <c r="N152" i="14"/>
  <c r="O99" i="14"/>
  <c r="N98" i="14"/>
  <c r="M136" i="14"/>
  <c r="N107" i="14"/>
  <c r="O108" i="14"/>
  <c r="N26" i="14"/>
  <c r="N34" i="14" s="1"/>
  <c r="N16" i="14" s="1"/>
  <c r="N94" i="47" s="1"/>
  <c r="O27" i="14"/>
  <c r="N80" i="14"/>
  <c r="O81" i="14"/>
  <c r="M10" i="14"/>
  <c r="M10" i="28" s="1"/>
  <c r="L138" i="6" l="1"/>
  <c r="O196" i="6"/>
  <c r="D196" i="6" s="1"/>
  <c r="J35" i="51"/>
  <c r="K25" i="10"/>
  <c r="O89" i="47"/>
  <c r="D89" i="47" s="1"/>
  <c r="O9" i="16"/>
  <c r="O82" i="6"/>
  <c r="D82" i="6" s="1"/>
  <c r="M36" i="17"/>
  <c r="M25" i="17"/>
  <c r="H114" i="6"/>
  <c r="K6" i="19"/>
  <c r="K7" i="19" s="1"/>
  <c r="K109" i="6"/>
  <c r="I132" i="47"/>
  <c r="I113" i="6"/>
  <c r="G177" i="6"/>
  <c r="G194" i="47"/>
  <c r="L127" i="47"/>
  <c r="L126" i="47" s="1"/>
  <c r="L167" i="6"/>
  <c r="J54" i="11"/>
  <c r="J110" i="6"/>
  <c r="J7" i="9"/>
  <c r="J98" i="6" s="1"/>
  <c r="J97" i="6"/>
  <c r="D27" i="18"/>
  <c r="D28" i="18"/>
  <c r="I16" i="29"/>
  <c r="I135" i="47"/>
  <c r="K104" i="47"/>
  <c r="I56" i="15"/>
  <c r="I133" i="47" s="1"/>
  <c r="H14" i="10"/>
  <c r="H71" i="6" s="1"/>
  <c r="J32" i="42"/>
  <c r="J26" i="42"/>
  <c r="H14" i="29"/>
  <c r="D18" i="18"/>
  <c r="L187" i="47"/>
  <c r="K97" i="41"/>
  <c r="N185" i="47"/>
  <c r="M186" i="47"/>
  <c r="N183" i="47" s="1"/>
  <c r="O48" i="29"/>
  <c r="D48" i="29" s="1"/>
  <c r="O167" i="47"/>
  <c r="D167" i="47" s="1"/>
  <c r="O52" i="16"/>
  <c r="D52" i="16" s="1"/>
  <c r="J51" i="15"/>
  <c r="J16" i="29" s="1"/>
  <c r="J7" i="19"/>
  <c r="K14" i="15"/>
  <c r="H83" i="41" s="1"/>
  <c r="K54" i="15"/>
  <c r="K53" i="15"/>
  <c r="K15" i="10"/>
  <c r="K134" i="47"/>
  <c r="K12" i="42"/>
  <c r="I97" i="47"/>
  <c r="I101" i="47"/>
  <c r="I102" i="47" s="1"/>
  <c r="D53" i="16"/>
  <c r="J139" i="47"/>
  <c r="J90" i="47"/>
  <c r="J96" i="47" s="1"/>
  <c r="L54" i="19"/>
  <c r="K98" i="47"/>
  <c r="K92" i="47"/>
  <c r="K193" i="47" s="1"/>
  <c r="I13" i="10"/>
  <c r="L8" i="10"/>
  <c r="L168" i="6" s="1"/>
  <c r="D19" i="18"/>
  <c r="I98" i="41"/>
  <c r="N10" i="11"/>
  <c r="I18" i="42"/>
  <c r="H6" i="42"/>
  <c r="I20" i="29"/>
  <c r="I6" i="42"/>
  <c r="I20" i="10"/>
  <c r="J10" i="42"/>
  <c r="J11" i="42"/>
  <c r="N11" i="22"/>
  <c r="I18" i="22"/>
  <c r="I19" i="22"/>
  <c r="O5" i="28"/>
  <c r="D5" i="28" s="1"/>
  <c r="L62" i="41"/>
  <c r="I17" i="28"/>
  <c r="I18" i="28" s="1"/>
  <c r="L5" i="19"/>
  <c r="K8" i="26"/>
  <c r="I13" i="29"/>
  <c r="H20" i="10"/>
  <c r="H20" i="29"/>
  <c r="H19" i="22"/>
  <c r="O24" i="31"/>
  <c r="O24" i="9"/>
  <c r="L20" i="28"/>
  <c r="K35" i="51"/>
  <c r="L25" i="29"/>
  <c r="J24" i="17"/>
  <c r="L7" i="26"/>
  <c r="M6" i="26" s="1"/>
  <c r="K18" i="14"/>
  <c r="L36" i="14"/>
  <c r="L38" i="15"/>
  <c r="L19" i="42" s="1"/>
  <c r="K15" i="29"/>
  <c r="L8" i="29"/>
  <c r="L7" i="29" s="1"/>
  <c r="L55" i="29" s="1"/>
  <c r="L15" i="11"/>
  <c r="L117" i="6" s="1"/>
  <c r="K8" i="11"/>
  <c r="K8" i="28"/>
  <c r="K6" i="28" s="1"/>
  <c r="K12" i="28" s="1"/>
  <c r="K9" i="11"/>
  <c r="K44" i="15"/>
  <c r="K119" i="6" s="1"/>
  <c r="J6" i="28"/>
  <c r="J12" i="28" s="1"/>
  <c r="L45" i="15"/>
  <c r="L93" i="47" s="1"/>
  <c r="J55" i="29"/>
  <c r="K42" i="15"/>
  <c r="M39" i="15"/>
  <c r="M45" i="15" s="1"/>
  <c r="M26" i="15"/>
  <c r="M40" i="15"/>
  <c r="M46" i="15" s="1"/>
  <c r="M99" i="47" s="1"/>
  <c r="M98" i="47" s="1"/>
  <c r="M27" i="15"/>
  <c r="N89" i="13"/>
  <c r="M17" i="19"/>
  <c r="M15" i="19" s="1"/>
  <c r="M56" i="19" s="1"/>
  <c r="N145" i="14"/>
  <c r="N97" i="13"/>
  <c r="M41" i="19"/>
  <c r="M39" i="19" s="1"/>
  <c r="M62" i="19" s="1"/>
  <c r="P92" i="13"/>
  <c r="O25" i="19"/>
  <c r="O23" i="19" s="1"/>
  <c r="O58" i="19" s="1"/>
  <c r="D58" i="19" s="1"/>
  <c r="O99" i="13"/>
  <c r="N46" i="19"/>
  <c r="N44" i="19" s="1"/>
  <c r="J16" i="22"/>
  <c r="J176" i="6" s="1"/>
  <c r="M10" i="16"/>
  <c r="M11" i="22"/>
  <c r="M12" i="16"/>
  <c r="N12" i="16" s="1"/>
  <c r="O91" i="13"/>
  <c r="N21" i="19"/>
  <c r="N19" i="19" s="1"/>
  <c r="N57" i="19" s="1"/>
  <c r="N88" i="13"/>
  <c r="M13" i="19"/>
  <c r="M11" i="19" s="1"/>
  <c r="M55" i="19" s="1"/>
  <c r="O5" i="11"/>
  <c r="O83" i="6" s="1"/>
  <c r="D83" i="6" s="1"/>
  <c r="K29" i="15"/>
  <c r="N62" i="17"/>
  <c r="N63" i="17" s="1"/>
  <c r="O61" i="17"/>
  <c r="O53" i="17"/>
  <c r="O54" i="17" s="1"/>
  <c r="N44" i="17"/>
  <c r="N45" i="17" s="1"/>
  <c r="N35" i="17"/>
  <c r="N25" i="17" s="1"/>
  <c r="M45" i="17"/>
  <c r="O34" i="17"/>
  <c r="O43" i="17"/>
  <c r="N45" i="14"/>
  <c r="N81" i="13"/>
  <c r="N13" i="15" s="1"/>
  <c r="N18" i="15" s="1"/>
  <c r="N109" i="14"/>
  <c r="L25" i="15"/>
  <c r="L16" i="15"/>
  <c r="N80" i="13"/>
  <c r="N12" i="15" s="1"/>
  <c r="N17" i="15" s="1"/>
  <c r="L31" i="15"/>
  <c r="L15" i="28" s="1"/>
  <c r="L14" i="28" s="1"/>
  <c r="N100" i="14"/>
  <c r="D8" i="16"/>
  <c r="N136" i="14"/>
  <c r="N10" i="16"/>
  <c r="N64" i="14"/>
  <c r="N154" i="14"/>
  <c r="N118" i="14"/>
  <c r="N91" i="14"/>
  <c r="N10" i="14"/>
  <c r="N10" i="28" s="1"/>
  <c r="O89" i="14"/>
  <c r="O80" i="14"/>
  <c r="O152" i="14"/>
  <c r="O125" i="14"/>
  <c r="O62" i="14"/>
  <c r="N82" i="14"/>
  <c r="O107" i="14"/>
  <c r="O116" i="14"/>
  <c r="O43" i="14"/>
  <c r="O26" i="14"/>
  <c r="O34" i="14" s="1"/>
  <c r="O16" i="14" s="1"/>
  <c r="O94" i="47" s="1"/>
  <c r="O143" i="14"/>
  <c r="M28" i="14"/>
  <c r="O134" i="14"/>
  <c r="O98" i="14"/>
  <c r="N138" i="6" l="1"/>
  <c r="M138" i="6"/>
  <c r="M25" i="29"/>
  <c r="M47" i="29" s="1"/>
  <c r="M52" i="29" s="1"/>
  <c r="M26" i="17"/>
  <c r="I30" i="51"/>
  <c r="J93" i="6"/>
  <c r="I114" i="6"/>
  <c r="K132" i="47"/>
  <c r="K113" i="6"/>
  <c r="L6" i="19"/>
  <c r="L109" i="6"/>
  <c r="J132" i="47"/>
  <c r="J113" i="6"/>
  <c r="I177" i="6"/>
  <c r="I194" i="47"/>
  <c r="I195" i="47" s="1"/>
  <c r="G195" i="47"/>
  <c r="H194" i="47"/>
  <c r="H195" i="47" s="1"/>
  <c r="H177" i="6"/>
  <c r="M127" i="47"/>
  <c r="M126" i="47" s="1"/>
  <c r="M174" i="47" s="1"/>
  <c r="M167" i="6"/>
  <c r="N127" i="47"/>
  <c r="N126" i="47" s="1"/>
  <c r="N174" i="47" s="1"/>
  <c r="N167" i="6"/>
  <c r="K54" i="11"/>
  <c r="K110" i="6"/>
  <c r="K55" i="11"/>
  <c r="K116" i="6"/>
  <c r="K118" i="6" s="1"/>
  <c r="K7" i="9"/>
  <c r="K98" i="6" s="1"/>
  <c r="K97" i="6"/>
  <c r="D29" i="18"/>
  <c r="D20" i="18"/>
  <c r="M187" i="47"/>
  <c r="M188" i="47" s="1"/>
  <c r="M144" i="47" s="1"/>
  <c r="M166" i="47" s="1"/>
  <c r="M171" i="47" s="1"/>
  <c r="M205" i="47" s="1"/>
  <c r="I14" i="10"/>
  <c r="I71" i="6" s="1"/>
  <c r="I14" i="29"/>
  <c r="K32" i="42"/>
  <c r="K26" i="42"/>
  <c r="K51" i="15"/>
  <c r="K16" i="29" s="1"/>
  <c r="J16" i="10"/>
  <c r="J13" i="29"/>
  <c r="L97" i="41"/>
  <c r="M97" i="41" s="1"/>
  <c r="O185" i="47"/>
  <c r="D185" i="47" s="1"/>
  <c r="N186" i="47"/>
  <c r="O183" i="47" s="1"/>
  <c r="L104" i="47"/>
  <c r="L188" i="47"/>
  <c r="L144" i="47" s="1"/>
  <c r="J135" i="47"/>
  <c r="J56" i="15"/>
  <c r="J133" i="47" s="1"/>
  <c r="J13" i="10"/>
  <c r="L14" i="15"/>
  <c r="I83" i="41" s="1"/>
  <c r="L54" i="15"/>
  <c r="L53" i="15"/>
  <c r="K13" i="22"/>
  <c r="K16" i="22" s="1"/>
  <c r="K176" i="6" s="1"/>
  <c r="J97" i="47"/>
  <c r="J101" i="47"/>
  <c r="J102" i="47" s="1"/>
  <c r="L8" i="28"/>
  <c r="L92" i="47"/>
  <c r="L193" i="47" s="1"/>
  <c r="K139" i="47"/>
  <c r="K90" i="47"/>
  <c r="K96" i="47" s="1"/>
  <c r="M54" i="19"/>
  <c r="M9" i="11"/>
  <c r="M93" i="47"/>
  <c r="L15" i="10"/>
  <c r="L134" i="47"/>
  <c r="L12" i="42"/>
  <c r="D94" i="47"/>
  <c r="L174" i="47"/>
  <c r="J6" i="42"/>
  <c r="J98" i="41"/>
  <c r="J18" i="42"/>
  <c r="O10" i="11"/>
  <c r="O11" i="22"/>
  <c r="D11" i="22" s="1"/>
  <c r="K10" i="42"/>
  <c r="K11" i="42"/>
  <c r="L108" i="41"/>
  <c r="M108" i="41" s="1"/>
  <c r="M62" i="41"/>
  <c r="M5" i="19"/>
  <c r="K17" i="28"/>
  <c r="K18" i="28" s="1"/>
  <c r="K13" i="28"/>
  <c r="J17" i="28"/>
  <c r="J18" i="28" s="1"/>
  <c r="J13" i="28"/>
  <c r="K21" i="17"/>
  <c r="J27" i="31"/>
  <c r="J26" i="31" s="1"/>
  <c r="L47" i="29"/>
  <c r="L52" i="29" s="1"/>
  <c r="M20" i="28"/>
  <c r="M7" i="26"/>
  <c r="M8" i="26" s="1"/>
  <c r="L8" i="26"/>
  <c r="D16" i="14"/>
  <c r="L18" i="14"/>
  <c r="M36" i="14"/>
  <c r="D34" i="14"/>
  <c r="L15" i="29"/>
  <c r="J20" i="29"/>
  <c r="L8" i="11"/>
  <c r="M44" i="15"/>
  <c r="M119" i="6" s="1"/>
  <c r="M15" i="11"/>
  <c r="M117" i="6" s="1"/>
  <c r="L9" i="11"/>
  <c r="L44" i="15"/>
  <c r="L119" i="6" s="1"/>
  <c r="M8" i="10"/>
  <c r="M168" i="6" s="1"/>
  <c r="M8" i="29"/>
  <c r="K13" i="10"/>
  <c r="K13" i="29"/>
  <c r="N8" i="10"/>
  <c r="N168" i="6" s="1"/>
  <c r="N8" i="29"/>
  <c r="N7" i="29" s="1"/>
  <c r="M38" i="15"/>
  <c r="M19" i="42" s="1"/>
  <c r="L42" i="15"/>
  <c r="N40" i="15"/>
  <c r="N46" i="15" s="1"/>
  <c r="N99" i="47" s="1"/>
  <c r="N98" i="47" s="1"/>
  <c r="N27" i="15"/>
  <c r="N31" i="15" s="1"/>
  <c r="N15" i="28" s="1"/>
  <c r="N14" i="28" s="1"/>
  <c r="N26" i="15"/>
  <c r="N39" i="15"/>
  <c r="N45" i="15" s="1"/>
  <c r="D23" i="19"/>
  <c r="O145" i="14"/>
  <c r="P99" i="13"/>
  <c r="O46" i="19"/>
  <c r="O44" i="19" s="1"/>
  <c r="O97" i="13"/>
  <c r="N41" i="19"/>
  <c r="N39" i="19" s="1"/>
  <c r="N62" i="19" s="1"/>
  <c r="O89" i="13"/>
  <c r="N17" i="19"/>
  <c r="N15" i="19" s="1"/>
  <c r="N56" i="19" s="1"/>
  <c r="J20" i="10"/>
  <c r="J19" i="22"/>
  <c r="P91" i="13"/>
  <c r="O21" i="19"/>
  <c r="O19" i="19" s="1"/>
  <c r="O57" i="19" s="1"/>
  <c r="O88" i="13"/>
  <c r="N13" i="19"/>
  <c r="N11" i="19" s="1"/>
  <c r="N55" i="19" s="1"/>
  <c r="D9" i="16"/>
  <c r="O12" i="16"/>
  <c r="O10" i="16"/>
  <c r="O35" i="17"/>
  <c r="O62" i="17"/>
  <c r="O63" i="17" s="1"/>
  <c r="D54" i="17"/>
  <c r="D53" i="17"/>
  <c r="N36" i="17"/>
  <c r="N26" i="17" s="1"/>
  <c r="N25" i="10" s="1"/>
  <c r="O44" i="17"/>
  <c r="O45" i="17" s="1"/>
  <c r="D33" i="17"/>
  <c r="O136" i="14"/>
  <c r="O45" i="14"/>
  <c r="O109" i="14"/>
  <c r="O81" i="13"/>
  <c r="O13" i="15" s="1"/>
  <c r="O18" i="15" s="1"/>
  <c r="M25" i="15"/>
  <c r="M16" i="15"/>
  <c r="M30" i="15"/>
  <c r="M9" i="28" s="1"/>
  <c r="O80" i="13"/>
  <c r="O12" i="15" s="1"/>
  <c r="O17" i="15" s="1"/>
  <c r="L30" i="15"/>
  <c r="L9" i="28" s="1"/>
  <c r="M31" i="15"/>
  <c r="M15" i="28" s="1"/>
  <c r="M14" i="28" s="1"/>
  <c r="O64" i="14"/>
  <c r="O100" i="14"/>
  <c r="O154" i="14"/>
  <c r="D107" i="14"/>
  <c r="O91" i="14"/>
  <c r="D143" i="14"/>
  <c r="O118" i="14"/>
  <c r="O10" i="14"/>
  <c r="O10" i="28" s="1"/>
  <c r="D98" i="14"/>
  <c r="D89" i="14"/>
  <c r="D152" i="14"/>
  <c r="D43" i="14"/>
  <c r="D125" i="14"/>
  <c r="O82" i="14"/>
  <c r="D134" i="14"/>
  <c r="D116" i="14"/>
  <c r="D80" i="14"/>
  <c r="N28" i="14"/>
  <c r="D26" i="14"/>
  <c r="D62" i="14"/>
  <c r="L35" i="51" l="1"/>
  <c r="M25" i="10"/>
  <c r="O36" i="17"/>
  <c r="O25" i="17"/>
  <c r="J114" i="6"/>
  <c r="K114" i="6"/>
  <c r="M92" i="47"/>
  <c r="M193" i="47" s="1"/>
  <c r="M6" i="19"/>
  <c r="M109" i="6"/>
  <c r="J194" i="47"/>
  <c r="J177" i="6"/>
  <c r="O127" i="47"/>
  <c r="O126" i="47" s="1"/>
  <c r="O174" i="47" s="1"/>
  <c r="O167" i="6"/>
  <c r="D167" i="6" s="1"/>
  <c r="L54" i="11"/>
  <c r="L110" i="6"/>
  <c r="L55" i="11"/>
  <c r="L116" i="6"/>
  <c r="L118" i="6" s="1"/>
  <c r="M55" i="11"/>
  <c r="M116" i="6"/>
  <c r="M118" i="6" s="1"/>
  <c r="L7" i="9"/>
  <c r="L98" i="6" s="1"/>
  <c r="L97" i="6"/>
  <c r="K16" i="10"/>
  <c r="K135" i="47"/>
  <c r="M104" i="47"/>
  <c r="O186" i="47"/>
  <c r="O187" i="47" s="1"/>
  <c r="O104" i="47" s="1"/>
  <c r="K56" i="15"/>
  <c r="K133" i="47" s="1"/>
  <c r="N187" i="47"/>
  <c r="L26" i="42"/>
  <c r="L32" i="42"/>
  <c r="K18" i="22"/>
  <c r="L6" i="28"/>
  <c r="L12" i="28" s="1"/>
  <c r="L17" i="28" s="1"/>
  <c r="L18" i="28" s="1"/>
  <c r="L166" i="47"/>
  <c r="L171" i="47" s="1"/>
  <c r="L205" i="47" s="1"/>
  <c r="J14" i="10"/>
  <c r="J71" i="6" s="1"/>
  <c r="J14" i="29"/>
  <c r="L51" i="15"/>
  <c r="L56" i="15" s="1"/>
  <c r="L133" i="47" s="1"/>
  <c r="M14" i="15"/>
  <c r="J83" i="41" s="1"/>
  <c r="M54" i="15"/>
  <c r="M53" i="15"/>
  <c r="N54" i="19"/>
  <c r="K97" i="47"/>
  <c r="K101" i="47"/>
  <c r="K102" i="47" s="1"/>
  <c r="M134" i="47"/>
  <c r="M12" i="42"/>
  <c r="L90" i="47"/>
  <c r="L96" i="47" s="1"/>
  <c r="L139" i="47"/>
  <c r="D57" i="19"/>
  <c r="N9" i="11"/>
  <c r="N93" i="47"/>
  <c r="K6" i="42"/>
  <c r="K98" i="41"/>
  <c r="K18" i="42"/>
  <c r="L13" i="22"/>
  <c r="L16" i="22" s="1"/>
  <c r="L176" i="6" s="1"/>
  <c r="L10" i="42"/>
  <c r="L11" i="42"/>
  <c r="N5" i="19"/>
  <c r="M35" i="51"/>
  <c r="N25" i="29"/>
  <c r="N47" i="29" s="1"/>
  <c r="N52" i="29" s="1"/>
  <c r="K24" i="17"/>
  <c r="D23" i="17"/>
  <c r="N20" i="28"/>
  <c r="L7" i="19"/>
  <c r="N6" i="26"/>
  <c r="N7" i="26"/>
  <c r="M18" i="14"/>
  <c r="N36" i="14"/>
  <c r="M15" i="29"/>
  <c r="M15" i="10"/>
  <c r="N44" i="15"/>
  <c r="N119" i="6" s="1"/>
  <c r="N15" i="11"/>
  <c r="N117" i="6" s="1"/>
  <c r="M8" i="11"/>
  <c r="M8" i="28"/>
  <c r="N55" i="29"/>
  <c r="O8" i="10"/>
  <c r="O168" i="6" s="1"/>
  <c r="D168" i="6" s="1"/>
  <c r="O8" i="29"/>
  <c r="O7" i="29" s="1"/>
  <c r="M7" i="29"/>
  <c r="K19" i="22"/>
  <c r="K20" i="29"/>
  <c r="D10" i="28"/>
  <c r="O26" i="15"/>
  <c r="O39" i="15"/>
  <c r="O45" i="15" s="1"/>
  <c r="O93" i="47" s="1"/>
  <c r="N38" i="15"/>
  <c r="N19" i="42" s="1"/>
  <c r="M42" i="15"/>
  <c r="O27" i="15"/>
  <c r="O40" i="15"/>
  <c r="O46" i="15" s="1"/>
  <c r="O99" i="47" s="1"/>
  <c r="K20" i="10"/>
  <c r="P89" i="13"/>
  <c r="O17" i="19"/>
  <c r="O15" i="19" s="1"/>
  <c r="O56" i="19" s="1"/>
  <c r="D56" i="19" s="1"/>
  <c r="P97" i="13"/>
  <c r="O41" i="19"/>
  <c r="O39" i="19" s="1"/>
  <c r="O62" i="19" s="1"/>
  <c r="D62" i="19" s="1"/>
  <c r="D44" i="19"/>
  <c r="D19" i="19"/>
  <c r="D10" i="16"/>
  <c r="P88" i="13"/>
  <c r="O13" i="19"/>
  <c r="O11" i="19" s="1"/>
  <c r="O55" i="19" s="1"/>
  <c r="D55" i="19" s="1"/>
  <c r="L29" i="15"/>
  <c r="D63" i="17"/>
  <c r="D62" i="17"/>
  <c r="D45" i="17"/>
  <c r="D44" i="17"/>
  <c r="D35" i="17"/>
  <c r="M29" i="15"/>
  <c r="N16" i="15"/>
  <c r="P80" i="13"/>
  <c r="P81" i="13"/>
  <c r="D10" i="14"/>
  <c r="O28" i="14"/>
  <c r="O138" i="6" l="1"/>
  <c r="D138" i="6" s="1"/>
  <c r="O25" i="29"/>
  <c r="O47" i="29" s="1"/>
  <c r="O52" i="29" s="1"/>
  <c r="O26" i="17"/>
  <c r="J30" i="51"/>
  <c r="K93" i="6"/>
  <c r="M90" i="47"/>
  <c r="M96" i="47" s="1"/>
  <c r="M97" i="47" s="1"/>
  <c r="M139" i="47"/>
  <c r="L132" i="47"/>
  <c r="L113" i="6"/>
  <c r="N6" i="19"/>
  <c r="N109" i="6"/>
  <c r="K194" i="47"/>
  <c r="K195" i="47" s="1"/>
  <c r="K177" i="6"/>
  <c r="J195" i="47"/>
  <c r="D127" i="47"/>
  <c r="D126" i="47" s="1"/>
  <c r="N55" i="11"/>
  <c r="N116" i="6"/>
  <c r="N118" i="6" s="1"/>
  <c r="M54" i="11"/>
  <c r="M110" i="6"/>
  <c r="M7" i="9"/>
  <c r="M98" i="6" s="1"/>
  <c r="M97" i="6"/>
  <c r="K14" i="29"/>
  <c r="O188" i="47"/>
  <c r="O144" i="47" s="1"/>
  <c r="O166" i="47" s="1"/>
  <c r="O171" i="47" s="1"/>
  <c r="O205" i="47" s="1"/>
  <c r="D187" i="47"/>
  <c r="K14" i="10"/>
  <c r="N104" i="47"/>
  <c r="D104" i="47" s="1"/>
  <c r="N188" i="47"/>
  <c r="N144" i="47" s="1"/>
  <c r="N166" i="47" s="1"/>
  <c r="N171" i="47" s="1"/>
  <c r="N205" i="47" s="1"/>
  <c r="M32" i="42"/>
  <c r="M26" i="42"/>
  <c r="L135" i="47"/>
  <c r="L16" i="29"/>
  <c r="L13" i="28"/>
  <c r="M51" i="15"/>
  <c r="M56" i="15" s="1"/>
  <c r="M133" i="47" s="1"/>
  <c r="L16" i="10"/>
  <c r="N14" i="15"/>
  <c r="K83" i="41" s="1"/>
  <c r="N54" i="15"/>
  <c r="N53" i="15"/>
  <c r="O98" i="47"/>
  <c r="D98" i="47" s="1"/>
  <c r="D99" i="47"/>
  <c r="L97" i="47"/>
  <c r="L101" i="47"/>
  <c r="L102" i="47" s="1"/>
  <c r="N134" i="47"/>
  <c r="N12" i="42"/>
  <c r="D93" i="47"/>
  <c r="N8" i="28"/>
  <c r="N92" i="47"/>
  <c r="N193" i="47" s="1"/>
  <c r="O54" i="19"/>
  <c r="D54" i="19" s="1"/>
  <c r="L6" i="42"/>
  <c r="L13" i="10"/>
  <c r="L14" i="10"/>
  <c r="L98" i="41"/>
  <c r="M98" i="41" s="1"/>
  <c r="L18" i="42"/>
  <c r="L18" i="22"/>
  <c r="M11" i="42"/>
  <c r="M10" i="42"/>
  <c r="M7" i="19"/>
  <c r="M113" i="6" s="1"/>
  <c r="L14" i="29"/>
  <c r="O5" i="19"/>
  <c r="L13" i="29"/>
  <c r="O20" i="28"/>
  <c r="L21" i="17"/>
  <c r="K27" i="31"/>
  <c r="K26" i="31" s="1"/>
  <c r="D25" i="29"/>
  <c r="D47" i="29" s="1"/>
  <c r="D52" i="29" s="1"/>
  <c r="N8" i="26"/>
  <c r="O6" i="26"/>
  <c r="O7" i="26"/>
  <c r="N18" i="14"/>
  <c r="O36" i="14"/>
  <c r="N15" i="10"/>
  <c r="N8" i="11"/>
  <c r="O44" i="15"/>
  <c r="O119" i="6" s="1"/>
  <c r="D119" i="6" s="1"/>
  <c r="O9" i="11"/>
  <c r="O15" i="11"/>
  <c r="O117" i="6" s="1"/>
  <c r="M6" i="28"/>
  <c r="M12" i="28" s="1"/>
  <c r="O55" i="29"/>
  <c r="M55" i="29"/>
  <c r="L20" i="10"/>
  <c r="L20" i="29"/>
  <c r="D8" i="29"/>
  <c r="D7" i="29" s="1"/>
  <c r="M13" i="22"/>
  <c r="M18" i="22" s="1"/>
  <c r="D27" i="15"/>
  <c r="D40" i="15"/>
  <c r="O38" i="15"/>
  <c r="O19" i="42" s="1"/>
  <c r="D19" i="42" s="1"/>
  <c r="C116" i="1" s="1"/>
  <c r="D15" i="19"/>
  <c r="D39" i="19"/>
  <c r="L19" i="22"/>
  <c r="D11" i="19"/>
  <c r="D25" i="17"/>
  <c r="D36" i="17"/>
  <c r="O31" i="15"/>
  <c r="O15" i="28" s="1"/>
  <c r="O14" i="28" s="1"/>
  <c r="D18" i="15"/>
  <c r="O25" i="15"/>
  <c r="O16" i="15"/>
  <c r="O30" i="15"/>
  <c r="O9" i="28" s="1"/>
  <c r="D17" i="15"/>
  <c r="N30" i="15"/>
  <c r="N9" i="28" s="1"/>
  <c r="N25" i="15"/>
  <c r="N35" i="51" l="1"/>
  <c r="B34" i="51" s="1"/>
  <c r="C17" i="51" s="1"/>
  <c r="O25" i="10"/>
  <c r="M101" i="47"/>
  <c r="M102" i="47" s="1"/>
  <c r="L114" i="6"/>
  <c r="K71" i="6"/>
  <c r="O92" i="47"/>
  <c r="O193" i="47" s="1"/>
  <c r="D193" i="47" s="1"/>
  <c r="O6" i="19"/>
  <c r="O109" i="6"/>
  <c r="D109" i="6" s="1"/>
  <c r="D205" i="47"/>
  <c r="L194" i="47"/>
  <c r="L177" i="6"/>
  <c r="N54" i="11"/>
  <c r="N110" i="6"/>
  <c r="O55" i="11"/>
  <c r="D55" i="11" s="1"/>
  <c r="O116" i="6"/>
  <c r="O118" i="6" s="1"/>
  <c r="D118" i="6" s="1"/>
  <c r="N7" i="9"/>
  <c r="N98" i="6" s="1"/>
  <c r="N97" i="6"/>
  <c r="D188" i="47"/>
  <c r="E19" i="42"/>
  <c r="A19" i="42"/>
  <c r="M16" i="29"/>
  <c r="M16" i="10"/>
  <c r="N51" i="15"/>
  <c r="N16" i="10" s="1"/>
  <c r="L71" i="6"/>
  <c r="D144" i="47"/>
  <c r="D166" i="47" s="1"/>
  <c r="D171" i="47" s="1"/>
  <c r="N6" i="28"/>
  <c r="N12" i="28" s="1"/>
  <c r="N17" i="28" s="1"/>
  <c r="N18" i="28" s="1"/>
  <c r="M135" i="47"/>
  <c r="O14" i="15"/>
  <c r="L83" i="41" s="1"/>
  <c r="O53" i="15"/>
  <c r="O54" i="15"/>
  <c r="N139" i="47"/>
  <c r="N90" i="47"/>
  <c r="N96" i="47" s="1"/>
  <c r="O134" i="47"/>
  <c r="D134" i="47" s="1"/>
  <c r="O12" i="42"/>
  <c r="M13" i="29"/>
  <c r="M132" i="47"/>
  <c r="M14" i="10"/>
  <c r="M13" i="10"/>
  <c r="M18" i="42"/>
  <c r="N13" i="22"/>
  <c r="N18" i="22" s="1"/>
  <c r="N11" i="42"/>
  <c r="N10" i="42"/>
  <c r="M14" i="29"/>
  <c r="M17" i="28"/>
  <c r="M18" i="28" s="1"/>
  <c r="M13" i="28"/>
  <c r="L24" i="17"/>
  <c r="D26" i="17"/>
  <c r="D20" i="28"/>
  <c r="O8" i="26"/>
  <c r="O18" i="14"/>
  <c r="N7" i="19"/>
  <c r="N15" i="29"/>
  <c r="O15" i="29"/>
  <c r="O15" i="10"/>
  <c r="M16" i="22"/>
  <c r="M176" i="6" s="1"/>
  <c r="D45" i="15"/>
  <c r="O8" i="11"/>
  <c r="O8" i="28"/>
  <c r="N42" i="15"/>
  <c r="O42" i="15"/>
  <c r="D39" i="15"/>
  <c r="D5" i="19"/>
  <c r="O29" i="15"/>
  <c r="D16" i="15"/>
  <c r="N29" i="15"/>
  <c r="D9" i="28"/>
  <c r="D26" i="15"/>
  <c r="K30" i="51" l="1"/>
  <c r="L93" i="6"/>
  <c r="D92" i="47"/>
  <c r="D90" i="47" s="1"/>
  <c r="D96" i="47" s="1"/>
  <c r="D101" i="47" s="1"/>
  <c r="D102" i="47" s="1"/>
  <c r="M114" i="6"/>
  <c r="O90" i="47"/>
  <c r="O96" i="47" s="1"/>
  <c r="O101" i="47" s="1"/>
  <c r="O102" i="47" s="1"/>
  <c r="O139" i="47"/>
  <c r="D139" i="47" s="1"/>
  <c r="N132" i="47"/>
  <c r="N113" i="6"/>
  <c r="L195" i="47"/>
  <c r="O54" i="11"/>
  <c r="D54" i="11" s="1"/>
  <c r="O110" i="6"/>
  <c r="D110" i="6" s="1"/>
  <c r="O7" i="9"/>
  <c r="O98" i="6" s="1"/>
  <c r="O97" i="6"/>
  <c r="N135" i="47"/>
  <c r="N16" i="29"/>
  <c r="M71" i="6"/>
  <c r="N56" i="15"/>
  <c r="N133" i="47" s="1"/>
  <c r="O32" i="42"/>
  <c r="O26" i="42"/>
  <c r="N26" i="42"/>
  <c r="N32" i="42"/>
  <c r="D12" i="42"/>
  <c r="C75" i="41" s="1"/>
  <c r="N13" i="28"/>
  <c r="O51" i="15"/>
  <c r="O56" i="15" s="1"/>
  <c r="O133" i="47" s="1"/>
  <c r="N97" i="47"/>
  <c r="N101" i="47"/>
  <c r="N102" i="47" s="1"/>
  <c r="M6" i="42"/>
  <c r="N13" i="29"/>
  <c r="N18" i="42"/>
  <c r="N16" i="22"/>
  <c r="N176" i="6" s="1"/>
  <c r="O7" i="19"/>
  <c r="M21" i="17"/>
  <c r="L27" i="31"/>
  <c r="L26" i="31" s="1"/>
  <c r="N13" i="10"/>
  <c r="D8" i="11"/>
  <c r="M20" i="29"/>
  <c r="M20" i="10"/>
  <c r="M19" i="22"/>
  <c r="O6" i="28"/>
  <c r="O12" i="28" s="1"/>
  <c r="O13" i="28" s="1"/>
  <c r="D8" i="28"/>
  <c r="D6" i="28" s="1"/>
  <c r="D12" i="28" s="1"/>
  <c r="D38" i="15"/>
  <c r="D46" i="15"/>
  <c r="D14" i="28"/>
  <c r="D15" i="28"/>
  <c r="D42" i="15"/>
  <c r="D15" i="29"/>
  <c r="D44" i="15"/>
  <c r="O13" i="22"/>
  <c r="D13" i="22" s="1"/>
  <c r="D16" i="22" s="1"/>
  <c r="D6" i="19"/>
  <c r="D31" i="15"/>
  <c r="D25" i="15"/>
  <c r="D29" i="15"/>
  <c r="D30" i="15"/>
  <c r="D97" i="47" l="1"/>
  <c r="O97" i="47"/>
  <c r="N114" i="6"/>
  <c r="O132" i="47"/>
  <c r="O113" i="6"/>
  <c r="D113" i="6" s="1"/>
  <c r="M194" i="47"/>
  <c r="M177" i="6"/>
  <c r="N14" i="29"/>
  <c r="N14" i="10"/>
  <c r="N71" i="6" s="1"/>
  <c r="D32" i="42"/>
  <c r="D75" i="41" s="1"/>
  <c r="D26" i="42"/>
  <c r="D133" i="47"/>
  <c r="O16" i="29"/>
  <c r="D16" i="29" s="1"/>
  <c r="D51" i="15"/>
  <c r="A51" i="15" s="1"/>
  <c r="O135" i="47"/>
  <c r="D135" i="47" s="1"/>
  <c r="O16" i="10"/>
  <c r="N6" i="42"/>
  <c r="O13" i="29"/>
  <c r="D53" i="15"/>
  <c r="A53" i="15" s="1"/>
  <c r="O10" i="42"/>
  <c r="D54" i="15"/>
  <c r="A54" i="15" s="1"/>
  <c r="O11" i="42"/>
  <c r="O13" i="10"/>
  <c r="N19" i="22"/>
  <c r="N20" i="29"/>
  <c r="N20" i="10"/>
  <c r="M24" i="17"/>
  <c r="D17" i="28"/>
  <c r="D13" i="28"/>
  <c r="O17" i="28"/>
  <c r="O18" i="28" s="1"/>
  <c r="O14" i="10"/>
  <c r="O14" i="29"/>
  <c r="D7" i="19"/>
  <c r="O18" i="22"/>
  <c r="O16" i="22"/>
  <c r="O176" i="6" s="1"/>
  <c r="D176" i="6" s="1"/>
  <c r="D56" i="15"/>
  <c r="A26" i="42" l="1"/>
  <c r="C119" i="1"/>
  <c r="L30" i="51"/>
  <c r="M93" i="6"/>
  <c r="D14" i="29"/>
  <c r="D132" i="47"/>
  <c r="D13" i="10"/>
  <c r="O114" i="6"/>
  <c r="D114" i="6" s="1"/>
  <c r="N177" i="6"/>
  <c r="N194" i="47"/>
  <c r="N195" i="47" s="1"/>
  <c r="M195" i="47"/>
  <c r="O71" i="6"/>
  <c r="O6" i="42"/>
  <c r="O18" i="42"/>
  <c r="D11" i="42"/>
  <c r="D10" i="42"/>
  <c r="N21" i="17"/>
  <c r="M27" i="31"/>
  <c r="M26" i="31" s="1"/>
  <c r="D18" i="28"/>
  <c r="O19" i="22"/>
  <c r="O20" i="29"/>
  <c r="D13" i="29"/>
  <c r="O20" i="10"/>
  <c r="G3" i="13"/>
  <c r="H3" i="13" s="1"/>
  <c r="I3" i="13" s="1"/>
  <c r="J3" i="13" s="1"/>
  <c r="K3" i="13" s="1"/>
  <c r="L3" i="13" s="1"/>
  <c r="M3" i="13" s="1"/>
  <c r="N3" i="13" s="1"/>
  <c r="O3" i="13" s="1"/>
  <c r="P3" i="13" s="1"/>
  <c r="U3" i="13" s="1"/>
  <c r="V3" i="13" s="1"/>
  <c r="W3" i="13" s="1"/>
  <c r="X3" i="13" s="1"/>
  <c r="Y3" i="13" s="1"/>
  <c r="Z3" i="13" s="1"/>
  <c r="AA3" i="13" s="1"/>
  <c r="AB3" i="13" s="1"/>
  <c r="AC3" i="13" s="1"/>
  <c r="U2" i="13"/>
  <c r="V2" i="13" s="1"/>
  <c r="W2" i="13" s="1"/>
  <c r="X2" i="13" s="1"/>
  <c r="Y2" i="13" s="1"/>
  <c r="Z2" i="13" s="1"/>
  <c r="AA2" i="13" s="1"/>
  <c r="AB2" i="13" s="1"/>
  <c r="AC2" i="13" s="1"/>
  <c r="A2" i="13"/>
  <c r="O177" i="6" l="1"/>
  <c r="D177" i="6" s="1"/>
  <c r="O194" i="47"/>
  <c r="C68" i="41"/>
  <c r="D6" i="42"/>
  <c r="C67" i="41" s="1"/>
  <c r="D18" i="42"/>
  <c r="N24" i="17"/>
  <c r="D20" i="29"/>
  <c r="D3" i="13"/>
  <c r="U2" i="7"/>
  <c r="V2" i="7" s="1"/>
  <c r="W2" i="7" s="1"/>
  <c r="X2" i="7" s="1"/>
  <c r="Y2" i="7" s="1"/>
  <c r="Z2" i="7" s="1"/>
  <c r="AA2" i="7" s="1"/>
  <c r="AB2" i="7" s="1"/>
  <c r="AC2" i="7" s="1"/>
  <c r="T2" i="12"/>
  <c r="U2" i="12" s="1"/>
  <c r="V2" i="12" s="1"/>
  <c r="W2" i="12" s="1"/>
  <c r="X2" i="12" s="1"/>
  <c r="Y2" i="12" s="1"/>
  <c r="Z2" i="12" s="1"/>
  <c r="AA2" i="12" s="1"/>
  <c r="T2" i="9"/>
  <c r="U2" i="9" s="1"/>
  <c r="V2" i="9" s="1"/>
  <c r="W2" i="9" s="1"/>
  <c r="X2" i="9" s="1"/>
  <c r="Y2" i="9" s="1"/>
  <c r="Z2" i="9" s="1"/>
  <c r="AA2" i="9" s="1"/>
  <c r="T2" i="10"/>
  <c r="U2" i="10" s="1"/>
  <c r="V2" i="10" s="1"/>
  <c r="W2" i="10" s="1"/>
  <c r="X2" i="10" s="1"/>
  <c r="Y2" i="10" s="1"/>
  <c r="Z2" i="10" s="1"/>
  <c r="AA2" i="10" s="1"/>
  <c r="T2" i="11"/>
  <c r="U2" i="11" s="1"/>
  <c r="V2" i="11" s="1"/>
  <c r="W2" i="11" s="1"/>
  <c r="X2" i="11" s="1"/>
  <c r="Y2" i="11" s="1"/>
  <c r="Z2" i="11" s="1"/>
  <c r="AA2" i="11" s="1"/>
  <c r="S2" i="5"/>
  <c r="T2" i="5" s="1"/>
  <c r="U2" i="5" s="1"/>
  <c r="V2" i="5" s="1"/>
  <c r="W2" i="5" s="1"/>
  <c r="X2" i="5" s="1"/>
  <c r="Y2" i="5" s="1"/>
  <c r="Z2" i="5" s="1"/>
  <c r="AA2" i="5" s="1"/>
  <c r="A18" i="42" l="1"/>
  <c r="C62" i="1"/>
  <c r="M30" i="51"/>
  <c r="N93" i="6"/>
  <c r="O195" i="47"/>
  <c r="D194" i="47"/>
  <c r="D195" i="47" s="1"/>
  <c r="E18" i="42"/>
  <c r="C74" i="41"/>
  <c r="O21" i="17"/>
  <c r="N27" i="31"/>
  <c r="N26" i="31" s="1"/>
  <c r="O24" i="17" l="1"/>
  <c r="N30" i="51" l="1"/>
  <c r="B29" i="51" s="1"/>
  <c r="C15" i="51" s="1"/>
  <c r="C19" i="51" s="1"/>
  <c r="O93" i="6"/>
  <c r="D93" i="6" s="1"/>
  <c r="O27" i="31"/>
  <c r="O26" i="31" s="1"/>
  <c r="B40" i="51" l="1"/>
  <c r="F17" i="13"/>
  <c r="G17" i="13" s="1"/>
  <c r="H17" i="13" s="1"/>
  <c r="I17" i="13" s="1"/>
  <c r="J17" i="13" s="1"/>
  <c r="K17" i="13" s="1"/>
  <c r="L17" i="13" s="1"/>
  <c r="M17" i="13" s="1"/>
  <c r="N17" i="13" s="1"/>
  <c r="O17" i="13" s="1"/>
  <c r="P17" i="13" s="1"/>
  <c r="G3" i="12"/>
  <c r="H3" i="12" s="1"/>
  <c r="I3" i="12" s="1"/>
  <c r="J3" i="12" s="1"/>
  <c r="K3" i="12" s="1"/>
  <c r="L3" i="12" s="1"/>
  <c r="M3" i="12" s="1"/>
  <c r="N3" i="12" s="1"/>
  <c r="O3" i="12" s="1"/>
  <c r="D3" i="12" s="1"/>
  <c r="A2" i="12"/>
  <c r="D11" i="12" l="1"/>
  <c r="B6" i="12" s="1"/>
  <c r="P8" i="47"/>
  <c r="Q8" i="47" s="1"/>
  <c r="D11" i="32"/>
  <c r="B6" i="32" s="1"/>
  <c r="T3" i="12"/>
  <c r="U3" i="12" s="1"/>
  <c r="V3" i="12" s="1"/>
  <c r="W3" i="12" s="1"/>
  <c r="X3" i="12" s="1"/>
  <c r="Y3" i="12" s="1"/>
  <c r="Z3" i="12" s="1"/>
  <c r="AA3" i="12" s="1"/>
  <c r="B10" i="12" l="1"/>
  <c r="B10" i="32"/>
  <c r="C10" i="41"/>
  <c r="F140" i="6"/>
  <c r="H48" i="10"/>
  <c r="H197" i="6" s="1"/>
  <c r="G48" i="10"/>
  <c r="G197" i="6" s="1"/>
  <c r="F48" i="10"/>
  <c r="F197" i="6" s="1"/>
  <c r="A67" i="6" a="1"/>
  <c r="F47" i="10" l="1"/>
  <c r="A67" i="6"/>
  <c r="F20" i="11"/>
  <c r="F139" i="6" l="1"/>
  <c r="F27" i="9"/>
  <c r="F94" i="6" l="1"/>
  <c r="G20" i="11"/>
  <c r="G27" i="9"/>
  <c r="I48" i="10"/>
  <c r="I197" i="6" s="1"/>
  <c r="G139" i="6" l="1"/>
  <c r="G94" i="6"/>
  <c r="H20" i="11"/>
  <c r="H27" i="9"/>
  <c r="J48" i="10"/>
  <c r="J197" i="6" s="1"/>
  <c r="H139" i="6" l="1"/>
  <c r="H94" i="6"/>
  <c r="G47" i="10"/>
  <c r="G140" i="6"/>
  <c r="H47" i="10"/>
  <c r="H140" i="6"/>
  <c r="I27" i="9"/>
  <c r="I20" i="11"/>
  <c r="K48" i="10"/>
  <c r="K197" i="6" s="1"/>
  <c r="I94" i="6" l="1"/>
  <c r="I139" i="6"/>
  <c r="J20" i="11"/>
  <c r="J27" i="9"/>
  <c r="L48" i="10"/>
  <c r="L197" i="6" s="1"/>
  <c r="J94" i="6" l="1"/>
  <c r="J139" i="6"/>
  <c r="I47" i="10"/>
  <c r="I140" i="6"/>
  <c r="K20" i="11"/>
  <c r="K27" i="9"/>
  <c r="M48" i="10"/>
  <c r="M197" i="6" s="1"/>
  <c r="K139" i="6" l="1"/>
  <c r="K94" i="6"/>
  <c r="J47" i="10"/>
  <c r="J140" i="6"/>
  <c r="K47" i="10"/>
  <c r="K140" i="6"/>
  <c r="L20" i="11"/>
  <c r="L27" i="9"/>
  <c r="N48" i="10"/>
  <c r="N197" i="6" s="1"/>
  <c r="L94" i="6" l="1"/>
  <c r="L139" i="6"/>
  <c r="M20" i="11"/>
  <c r="M27" i="9"/>
  <c r="O48" i="10"/>
  <c r="O197" i="6" s="1"/>
  <c r="D197" i="6" s="1"/>
  <c r="M94" i="6" l="1"/>
  <c r="M139" i="6"/>
  <c r="L47" i="10"/>
  <c r="L140" i="6"/>
  <c r="N20" i="11"/>
  <c r="N27" i="9"/>
  <c r="N94" i="6" l="1"/>
  <c r="N139" i="6"/>
  <c r="M47" i="10"/>
  <c r="M140" i="6"/>
  <c r="O20" i="11"/>
  <c r="O27" i="9"/>
  <c r="O139" i="6" l="1"/>
  <c r="D139" i="6" s="1"/>
  <c r="O94" i="6"/>
  <c r="D94" i="6" s="1"/>
  <c r="N47" i="10"/>
  <c r="N140" i="6"/>
  <c r="O47" i="10" l="1"/>
  <c r="O140" i="6"/>
  <c r="D140" i="6" s="1"/>
  <c r="D16" i="11"/>
  <c r="B52" i="2" a="1"/>
  <c r="A19" i="9" a="1"/>
  <c r="B54" i="2" a="1"/>
  <c r="A25" i="9" a="1"/>
  <c r="F6" i="11" l="1"/>
  <c r="F56" i="11"/>
  <c r="G6" i="11"/>
  <c r="G56" i="11"/>
  <c r="B52" i="2"/>
  <c r="B54" i="2"/>
  <c r="A25" i="9"/>
  <c r="A19" i="9"/>
  <c r="G52" i="11" l="1"/>
  <c r="G63" i="11" s="1"/>
  <c r="F52" i="11"/>
  <c r="J32" i="10"/>
  <c r="J181" i="6" s="1"/>
  <c r="O32" i="10"/>
  <c r="O181" i="6" s="1"/>
  <c r="L32" i="10"/>
  <c r="L181" i="6" s="1"/>
  <c r="I32" i="10"/>
  <c r="I181" i="6" s="1"/>
  <c r="K32" i="10"/>
  <c r="K181" i="6" s="1"/>
  <c r="H32" i="10"/>
  <c r="H181" i="6" s="1"/>
  <c r="G32" i="10"/>
  <c r="G181" i="6" s="1"/>
  <c r="M32" i="10"/>
  <c r="M181" i="6" s="1"/>
  <c r="N32" i="10"/>
  <c r="N181" i="6" s="1"/>
  <c r="F14" i="11"/>
  <c r="F64" i="11" l="1"/>
  <c r="F60" i="11"/>
  <c r="F61" i="11"/>
  <c r="F62" i="11"/>
  <c r="F63" i="11"/>
  <c r="G60" i="11"/>
  <c r="G64" i="11"/>
  <c r="G62" i="11"/>
  <c r="G61" i="11"/>
  <c r="J14" i="11"/>
  <c r="H14" i="11"/>
  <c r="G14" i="11"/>
  <c r="G59" i="11" l="1"/>
  <c r="F59" i="11"/>
  <c r="I6" i="11"/>
  <c r="I56" i="11"/>
  <c r="K14" i="11"/>
  <c r="I52" i="11" l="1"/>
  <c r="I63" i="11" s="1"/>
  <c r="K6" i="11"/>
  <c r="K56" i="11"/>
  <c r="H6" i="11"/>
  <c r="H56" i="11"/>
  <c r="J6" i="11"/>
  <c r="J56" i="11"/>
  <c r="I14" i="11"/>
  <c r="J52" i="11" l="1"/>
  <c r="J63" i="11" s="1"/>
  <c r="K52" i="11"/>
  <c r="K63" i="11" s="1"/>
  <c r="I60" i="11"/>
  <c r="I64" i="11"/>
  <c r="I61" i="11"/>
  <c r="I62" i="11"/>
  <c r="L6" i="11"/>
  <c r="L56" i="11"/>
  <c r="H52" i="11"/>
  <c r="I59" i="11" l="1"/>
  <c r="H64" i="11"/>
  <c r="H60" i="11"/>
  <c r="H62" i="11"/>
  <c r="H61" i="11"/>
  <c r="H63" i="11"/>
  <c r="L52" i="11"/>
  <c r="L63" i="11" s="1"/>
  <c r="K60" i="11"/>
  <c r="K64" i="11"/>
  <c r="K62" i="11"/>
  <c r="K61" i="11"/>
  <c r="J64" i="11"/>
  <c r="J60" i="11"/>
  <c r="J62" i="11"/>
  <c r="J61" i="11"/>
  <c r="M6" i="11"/>
  <c r="M56" i="11"/>
  <c r="L14" i="11"/>
  <c r="M14" i="11"/>
  <c r="L60" i="11" l="1"/>
  <c r="L64" i="11"/>
  <c r="L61" i="11"/>
  <c r="L62" i="11"/>
  <c r="H59" i="11"/>
  <c r="K59" i="11"/>
  <c r="J59" i="11"/>
  <c r="M52" i="11"/>
  <c r="N6" i="11"/>
  <c r="N56" i="11"/>
  <c r="N14" i="11"/>
  <c r="M60" i="11" l="1"/>
  <c r="M64" i="11"/>
  <c r="M62" i="11"/>
  <c r="M61" i="11"/>
  <c r="M63" i="11"/>
  <c r="N52" i="11"/>
  <c r="N63" i="11" s="1"/>
  <c r="L59" i="11"/>
  <c r="O6" i="11"/>
  <c r="O56" i="11"/>
  <c r="O14" i="11"/>
  <c r="O52" i="11" l="1"/>
  <c r="O63" i="11" s="1"/>
  <c r="N60" i="11"/>
  <c r="N64" i="11"/>
  <c r="N62" i="11"/>
  <c r="N61" i="11"/>
  <c r="M59" i="11"/>
  <c r="D14" i="11"/>
  <c r="D15" i="11"/>
  <c r="N59" i="11" l="1"/>
  <c r="O64" i="11"/>
  <c r="O60" i="11"/>
  <c r="O62" i="11"/>
  <c r="O61" i="11"/>
  <c r="D52" i="11"/>
  <c r="D56" i="11"/>
  <c r="G3" i="6"/>
  <c r="H3" i="6" s="1"/>
  <c r="I3" i="6" s="1"/>
  <c r="J3" i="6" s="1"/>
  <c r="K3" i="6" s="1"/>
  <c r="L3" i="6" s="1"/>
  <c r="M3" i="6" s="1"/>
  <c r="N3" i="6" s="1"/>
  <c r="O3" i="6" s="1"/>
  <c r="D3" i="6" s="1"/>
  <c r="G3" i="7"/>
  <c r="H3" i="7" s="1"/>
  <c r="I3" i="7" s="1"/>
  <c r="J3" i="7" s="1"/>
  <c r="K3" i="7" s="1"/>
  <c r="L3" i="7" s="1"/>
  <c r="M3" i="7" s="1"/>
  <c r="N3" i="7" s="1"/>
  <c r="O3" i="7" s="1"/>
  <c r="P3" i="7" s="1"/>
  <c r="G3" i="11"/>
  <c r="H3" i="11" s="1"/>
  <c r="I3" i="11" s="1"/>
  <c r="J3" i="11" s="1"/>
  <c r="K3" i="11" s="1"/>
  <c r="L3" i="11" s="1"/>
  <c r="M3" i="11" s="1"/>
  <c r="N3" i="11" s="1"/>
  <c r="O3" i="11" s="1"/>
  <c r="D3" i="11" s="1"/>
  <c r="G3" i="10"/>
  <c r="H3" i="10" s="1"/>
  <c r="I3" i="10" s="1"/>
  <c r="J3" i="10" s="1"/>
  <c r="K3" i="10" s="1"/>
  <c r="L3" i="10" s="1"/>
  <c r="M3" i="10" s="1"/>
  <c r="N3" i="10" s="1"/>
  <c r="O3" i="10" s="1"/>
  <c r="D3" i="10" s="1"/>
  <c r="G3" i="9"/>
  <c r="H3" i="9" s="1"/>
  <c r="I3" i="9" s="1"/>
  <c r="J3" i="9" s="1"/>
  <c r="K3" i="9" s="1"/>
  <c r="L3" i="9" s="1"/>
  <c r="M3" i="9" s="1"/>
  <c r="N3" i="9" s="1"/>
  <c r="O3" i="9" s="1"/>
  <c r="T3" i="9" s="1"/>
  <c r="U3" i="9" s="1"/>
  <c r="V3" i="9" s="1"/>
  <c r="W3" i="9" s="1"/>
  <c r="X3" i="9" s="1"/>
  <c r="Y3" i="9" s="1"/>
  <c r="Z3" i="9" s="1"/>
  <c r="AA3" i="9" s="1"/>
  <c r="G3" i="5"/>
  <c r="H3" i="5" s="1"/>
  <c r="I3" i="5" s="1"/>
  <c r="J3" i="5" s="1"/>
  <c r="K3" i="5" s="1"/>
  <c r="L3" i="5" s="1"/>
  <c r="M3" i="5" s="1"/>
  <c r="N3" i="5" s="1"/>
  <c r="O3" i="5" s="1"/>
  <c r="D22" i="11"/>
  <c r="D21" i="11"/>
  <c r="D20" i="11"/>
  <c r="D19" i="11"/>
  <c r="F12" i="11"/>
  <c r="D63" i="11" l="1"/>
  <c r="D64" i="11"/>
  <c r="D60" i="11"/>
  <c r="D62" i="11"/>
  <c r="D61" i="11"/>
  <c r="O59" i="11"/>
  <c r="R3" i="5"/>
  <c r="S3" i="5" s="1"/>
  <c r="T3" i="5" s="1"/>
  <c r="U3" i="5" s="1"/>
  <c r="V3" i="5" s="1"/>
  <c r="W3" i="5" s="1"/>
  <c r="X3" i="5" s="1"/>
  <c r="Y3" i="5" s="1"/>
  <c r="Z3" i="5" s="1"/>
  <c r="AA3" i="5" s="1"/>
  <c r="D3" i="5"/>
  <c r="F17" i="11"/>
  <c r="F13" i="11"/>
  <c r="T3" i="10"/>
  <c r="U3" i="10" s="1"/>
  <c r="V3" i="10" s="1"/>
  <c r="W3" i="10" s="1"/>
  <c r="X3" i="10" s="1"/>
  <c r="Y3" i="10" s="1"/>
  <c r="Z3" i="10" s="1"/>
  <c r="AA3" i="10" s="1"/>
  <c r="D3" i="7"/>
  <c r="U3" i="7"/>
  <c r="V3" i="7" s="1"/>
  <c r="W3" i="7" s="1"/>
  <c r="X3" i="7" s="1"/>
  <c r="Y3" i="7" s="1"/>
  <c r="Z3" i="7" s="1"/>
  <c r="AA3" i="7" s="1"/>
  <c r="AB3" i="7" s="1"/>
  <c r="AC3" i="7" s="1"/>
  <c r="T3" i="11"/>
  <c r="U3" i="11" s="1"/>
  <c r="V3" i="11" s="1"/>
  <c r="W3" i="11" s="1"/>
  <c r="X3" i="11" s="1"/>
  <c r="Y3" i="11" s="1"/>
  <c r="Z3" i="11" s="1"/>
  <c r="AA3" i="11" s="1"/>
  <c r="D10" i="11"/>
  <c r="G12" i="11"/>
  <c r="D59" i="11" l="1"/>
  <c r="G17" i="11"/>
  <c r="G18" i="11" s="1"/>
  <c r="G13" i="11"/>
  <c r="D11" i="11"/>
  <c r="I12" i="11"/>
  <c r="H12" i="11"/>
  <c r="J12" i="11"/>
  <c r="I17" i="11" l="1"/>
  <c r="I18" i="11" s="1"/>
  <c r="I13" i="11"/>
  <c r="H17" i="11"/>
  <c r="H18" i="11" s="1"/>
  <c r="H13" i="11"/>
  <c r="J17" i="11"/>
  <c r="J18" i="11" s="1"/>
  <c r="J13" i="11"/>
  <c r="G13" i="26"/>
  <c r="G19" i="26"/>
  <c r="G157" i="6" s="1"/>
  <c r="K12" i="11"/>
  <c r="G108" i="47" l="1"/>
  <c r="G109" i="47" s="1"/>
  <c r="G111" i="47" s="1"/>
  <c r="G140" i="47"/>
  <c r="G9" i="42"/>
  <c r="K17" i="11"/>
  <c r="K18" i="11" s="1"/>
  <c r="K13" i="11"/>
  <c r="G21" i="26"/>
  <c r="G25" i="42" s="1"/>
  <c r="G24" i="28"/>
  <c r="G25" i="28" s="1"/>
  <c r="G21" i="29"/>
  <c r="G21" i="10"/>
  <c r="G24" i="11"/>
  <c r="I19" i="26"/>
  <c r="I157" i="6" s="1"/>
  <c r="I13" i="26"/>
  <c r="J19" i="26"/>
  <c r="J157" i="6" s="1"/>
  <c r="J13" i="26"/>
  <c r="H13" i="26"/>
  <c r="H19" i="26"/>
  <c r="H157" i="6" s="1"/>
  <c r="L12" i="11"/>
  <c r="A2" i="11"/>
  <c r="O41" i="10"/>
  <c r="N41" i="10"/>
  <c r="M41" i="10"/>
  <c r="L41" i="10"/>
  <c r="K41" i="10"/>
  <c r="J41" i="10"/>
  <c r="I41" i="10"/>
  <c r="H41" i="10"/>
  <c r="G41" i="10"/>
  <c r="D48" i="10"/>
  <c r="D50" i="10"/>
  <c r="D25" i="10"/>
  <c r="F41" i="10"/>
  <c r="D44" i="10"/>
  <c r="D43" i="10"/>
  <c r="D42" i="10"/>
  <c r="O34" i="10"/>
  <c r="N34" i="10"/>
  <c r="M34" i="10"/>
  <c r="L34" i="10"/>
  <c r="K34" i="10"/>
  <c r="J34" i="10"/>
  <c r="I34" i="10"/>
  <c r="H34" i="10"/>
  <c r="G34" i="10"/>
  <c r="O30" i="10"/>
  <c r="N30" i="10"/>
  <c r="M30" i="10"/>
  <c r="L30" i="10"/>
  <c r="K30" i="10"/>
  <c r="J30" i="10"/>
  <c r="I30" i="10"/>
  <c r="H30" i="10"/>
  <c r="G30" i="10"/>
  <c r="D36" i="10"/>
  <c r="D31" i="10"/>
  <c r="D24" i="10"/>
  <c r="D23" i="10"/>
  <c r="D20" i="10"/>
  <c r="D18" i="10"/>
  <c r="D16" i="10"/>
  <c r="D15" i="10"/>
  <c r="D14" i="10"/>
  <c r="D9" i="10"/>
  <c r="D8" i="10"/>
  <c r="O7" i="10"/>
  <c r="N7" i="10"/>
  <c r="M7" i="10"/>
  <c r="L7" i="10"/>
  <c r="K7" i="10"/>
  <c r="J7" i="10"/>
  <c r="I7" i="10"/>
  <c r="H7" i="10"/>
  <c r="G7" i="10"/>
  <c r="F7" i="10"/>
  <c r="G159" i="6" l="1"/>
  <c r="G25" i="11"/>
  <c r="G20" i="25" s="1"/>
  <c r="G29" i="25" s="1"/>
  <c r="G8" i="42" s="1"/>
  <c r="G158" i="6"/>
  <c r="H108" i="47"/>
  <c r="H109" i="47" s="1"/>
  <c r="H111" i="47" s="1"/>
  <c r="H140" i="47"/>
  <c r="J108" i="47"/>
  <c r="J109" i="47" s="1"/>
  <c r="J140" i="47"/>
  <c r="I108" i="47"/>
  <c r="I109" i="47" s="1"/>
  <c r="I140" i="47"/>
  <c r="G110" i="47"/>
  <c r="G141" i="47"/>
  <c r="G130" i="47" s="1"/>
  <c r="G115" i="47"/>
  <c r="G116" i="47" s="1"/>
  <c r="H9" i="42"/>
  <c r="J9" i="42"/>
  <c r="I9" i="42"/>
  <c r="L17" i="11"/>
  <c r="L18" i="11" s="1"/>
  <c r="L13" i="11"/>
  <c r="H21" i="10"/>
  <c r="H24" i="11"/>
  <c r="J21" i="10"/>
  <c r="J24" i="11"/>
  <c r="H24" i="28"/>
  <c r="H25" i="28" s="1"/>
  <c r="H21" i="29"/>
  <c r="I21" i="26"/>
  <c r="I25" i="42" s="1"/>
  <c r="I24" i="28"/>
  <c r="I25" i="28" s="1"/>
  <c r="I21" i="29"/>
  <c r="I21" i="10"/>
  <c r="I24" i="11"/>
  <c r="G6" i="25"/>
  <c r="G31" i="28"/>
  <c r="G26" i="28"/>
  <c r="J21" i="26"/>
  <c r="J25" i="42" s="1"/>
  <c r="J24" i="28"/>
  <c r="J25" i="28" s="1"/>
  <c r="J21" i="29"/>
  <c r="H21" i="26"/>
  <c r="H25" i="42" s="1"/>
  <c r="K19" i="26"/>
  <c r="K157" i="6" s="1"/>
  <c r="K13" i="26"/>
  <c r="D47" i="10"/>
  <c r="H55" i="10"/>
  <c r="G52" i="10"/>
  <c r="G206" i="47" s="1"/>
  <c r="G207" i="47" s="1"/>
  <c r="M12" i="11"/>
  <c r="I55" i="10"/>
  <c r="L55" i="10"/>
  <c r="O55" i="10"/>
  <c r="K55" i="10"/>
  <c r="J55" i="10"/>
  <c r="M55" i="10"/>
  <c r="F52" i="10"/>
  <c r="F206" i="47" s="1"/>
  <c r="H52" i="10"/>
  <c r="H206" i="47" s="1"/>
  <c r="H207" i="47" s="1"/>
  <c r="N55" i="10"/>
  <c r="M52" i="10"/>
  <c r="M206" i="47" s="1"/>
  <c r="M207" i="47" s="1"/>
  <c r="N52" i="10"/>
  <c r="N206" i="47" s="1"/>
  <c r="N207" i="47" s="1"/>
  <c r="G55" i="10"/>
  <c r="I52" i="10"/>
  <c r="I206" i="47" s="1"/>
  <c r="I207" i="47" s="1"/>
  <c r="D41" i="10"/>
  <c r="G38" i="10"/>
  <c r="G202" i="47" s="1"/>
  <c r="G203" i="47" s="1"/>
  <c r="I38" i="10"/>
  <c r="I202" i="47" s="1"/>
  <c r="I203" i="47" s="1"/>
  <c r="J38" i="10"/>
  <c r="J202" i="47" s="1"/>
  <c r="J203" i="47" s="1"/>
  <c r="K38" i="10"/>
  <c r="K202" i="47" s="1"/>
  <c r="K203" i="47" s="1"/>
  <c r="O38" i="10"/>
  <c r="O202" i="47" s="1"/>
  <c r="O203" i="47" s="1"/>
  <c r="L38" i="10"/>
  <c r="L202" i="47" s="1"/>
  <c r="L203" i="47" s="1"/>
  <c r="H38" i="10"/>
  <c r="H202" i="47" s="1"/>
  <c r="H203" i="47" s="1"/>
  <c r="M38" i="10"/>
  <c r="M202" i="47" s="1"/>
  <c r="M203" i="47" s="1"/>
  <c r="D7" i="10"/>
  <c r="N38" i="10"/>
  <c r="N202" i="47" s="1"/>
  <c r="J159" i="6" l="1"/>
  <c r="H159" i="6"/>
  <c r="I159" i="6"/>
  <c r="F207" i="47"/>
  <c r="N203" i="47"/>
  <c r="G28" i="25"/>
  <c r="G7" i="42" s="1"/>
  <c r="H25" i="11"/>
  <c r="H20" i="25" s="1"/>
  <c r="H28" i="25" s="1"/>
  <c r="H7" i="42" s="1"/>
  <c r="H158" i="6"/>
  <c r="J25" i="11"/>
  <c r="J20" i="25" s="1"/>
  <c r="J29" i="25" s="1"/>
  <c r="J8" i="42" s="1"/>
  <c r="J158" i="6"/>
  <c r="I25" i="11"/>
  <c r="I20" i="25" s="1"/>
  <c r="I29" i="25" s="1"/>
  <c r="I8" i="42" s="1"/>
  <c r="I158" i="6"/>
  <c r="G17" i="42"/>
  <c r="G112" i="47"/>
  <c r="G113" i="47" s="1"/>
  <c r="G175" i="47"/>
  <c r="G146" i="47"/>
  <c r="J111" i="47"/>
  <c r="J141" i="47" s="1"/>
  <c r="J130" i="47" s="1"/>
  <c r="J115" i="47"/>
  <c r="J116" i="47" s="1"/>
  <c r="J110" i="47"/>
  <c r="I115" i="47"/>
  <c r="I116" i="47" s="1"/>
  <c r="I111" i="47"/>
  <c r="I141" i="47" s="1"/>
  <c r="I130" i="47" s="1"/>
  <c r="I110" i="47"/>
  <c r="H141" i="47"/>
  <c r="H130" i="47" s="1"/>
  <c r="H110" i="47"/>
  <c r="H115" i="47"/>
  <c r="H116" i="47" s="1"/>
  <c r="K108" i="47"/>
  <c r="K109" i="47" s="1"/>
  <c r="K140" i="47"/>
  <c r="K9" i="42"/>
  <c r="G17" i="25"/>
  <c r="G24" i="42" s="1"/>
  <c r="G16" i="25"/>
  <c r="M17" i="11"/>
  <c r="M18" i="11" s="1"/>
  <c r="M13" i="11"/>
  <c r="G32" i="28"/>
  <c r="N31" i="12"/>
  <c r="M31" i="12"/>
  <c r="H31" i="12"/>
  <c r="L31" i="12"/>
  <c r="O31" i="12"/>
  <c r="K31" i="12"/>
  <c r="J31" i="12"/>
  <c r="I31" i="12"/>
  <c r="G31" i="12"/>
  <c r="I6" i="25"/>
  <c r="I26" i="28"/>
  <c r="I31" i="28"/>
  <c r="J6" i="25"/>
  <c r="J26" i="28"/>
  <c r="J31" i="28"/>
  <c r="H6" i="25"/>
  <c r="H26" i="28"/>
  <c r="H31" i="28"/>
  <c r="K24" i="28"/>
  <c r="K25" i="28" s="1"/>
  <c r="K21" i="29"/>
  <c r="K21" i="10"/>
  <c r="K24" i="11"/>
  <c r="K21" i="26"/>
  <c r="K25" i="42" s="1"/>
  <c r="L19" i="26"/>
  <c r="L157" i="6" s="1"/>
  <c r="L13" i="26"/>
  <c r="D52" i="10"/>
  <c r="L52" i="10"/>
  <c r="L206" i="47" s="1"/>
  <c r="L207" i="47" s="1"/>
  <c r="J52" i="10"/>
  <c r="J206" i="47" s="1"/>
  <c r="J207" i="47" s="1"/>
  <c r="O52" i="10"/>
  <c r="O206" i="47" s="1"/>
  <c r="O207" i="47" s="1"/>
  <c r="N12" i="11"/>
  <c r="D5" i="11"/>
  <c r="K52" i="10"/>
  <c r="K206" i="47" s="1"/>
  <c r="K207" i="47" s="1"/>
  <c r="G5" i="42" l="1"/>
  <c r="D109" i="41" s="1"/>
  <c r="G30" i="42"/>
  <c r="K159" i="6"/>
  <c r="D206" i="47"/>
  <c r="D207" i="47" s="1"/>
  <c r="G80" i="47"/>
  <c r="G197" i="47"/>
  <c r="G16" i="42"/>
  <c r="G23" i="42"/>
  <c r="G27" i="25"/>
  <c r="G162" i="6" s="1"/>
  <c r="H29" i="25"/>
  <c r="H8" i="42" s="1"/>
  <c r="K25" i="11"/>
  <c r="K20" i="25" s="1"/>
  <c r="K29" i="25" s="1"/>
  <c r="K8" i="42" s="1"/>
  <c r="K158" i="6"/>
  <c r="I28" i="25"/>
  <c r="I7" i="42" s="1"/>
  <c r="J28" i="25"/>
  <c r="J7" i="42" s="1"/>
  <c r="J17" i="42"/>
  <c r="I17" i="42"/>
  <c r="H16" i="42"/>
  <c r="J112" i="47"/>
  <c r="J113" i="47" s="1"/>
  <c r="I175" i="47"/>
  <c r="I146" i="47"/>
  <c r="J175" i="47"/>
  <c r="J146" i="47"/>
  <c r="H175" i="47"/>
  <c r="H146" i="47"/>
  <c r="I112" i="47"/>
  <c r="I113" i="47" s="1"/>
  <c r="L108" i="47"/>
  <c r="L109" i="47" s="1"/>
  <c r="L140" i="47"/>
  <c r="K115" i="47"/>
  <c r="K116" i="47" s="1"/>
  <c r="K110" i="47"/>
  <c r="K111" i="47"/>
  <c r="K141" i="47" s="1"/>
  <c r="K130" i="47" s="1"/>
  <c r="H112" i="47"/>
  <c r="H113" i="47" s="1"/>
  <c r="L9" i="42"/>
  <c r="G32" i="25"/>
  <c r="G33" i="25"/>
  <c r="G15" i="25"/>
  <c r="I17" i="25"/>
  <c r="I24" i="42" s="1"/>
  <c r="I16" i="25"/>
  <c r="J17" i="25"/>
  <c r="J24" i="42" s="1"/>
  <c r="J16" i="25"/>
  <c r="H16" i="25"/>
  <c r="H23" i="42" s="1"/>
  <c r="H17" i="25"/>
  <c r="N17" i="11"/>
  <c r="N18" i="11" s="1"/>
  <c r="N13" i="11"/>
  <c r="J32" i="28"/>
  <c r="H32" i="28"/>
  <c r="I32" i="28"/>
  <c r="L24" i="28"/>
  <c r="L25" i="28" s="1"/>
  <c r="L21" i="29"/>
  <c r="K6" i="25"/>
  <c r="K26" i="28"/>
  <c r="K31" i="28"/>
  <c r="L24" i="11"/>
  <c r="L21" i="10"/>
  <c r="L21" i="26"/>
  <c r="L25" i="42" s="1"/>
  <c r="M19" i="26"/>
  <c r="M157" i="6" s="1"/>
  <c r="M13" i="26"/>
  <c r="O12" i="11"/>
  <c r="H17" i="42" l="1"/>
  <c r="G15" i="42"/>
  <c r="G29" i="42"/>
  <c r="H29" i="42"/>
  <c r="J30" i="42"/>
  <c r="J5" i="42"/>
  <c r="G109" i="41" s="1"/>
  <c r="I16" i="42"/>
  <c r="I30" i="42"/>
  <c r="G22" i="10"/>
  <c r="G27" i="11"/>
  <c r="L159" i="6"/>
  <c r="H27" i="25"/>
  <c r="H162" i="6" s="1"/>
  <c r="H80" i="47"/>
  <c r="H197" i="47"/>
  <c r="J80" i="47"/>
  <c r="J197" i="47"/>
  <c r="I80" i="47"/>
  <c r="I197" i="47"/>
  <c r="I23" i="42"/>
  <c r="I27" i="25"/>
  <c r="I162" i="6" s="1"/>
  <c r="J27" i="25"/>
  <c r="J162" i="6" s="1"/>
  <c r="I5" i="42"/>
  <c r="F109" i="41" s="1"/>
  <c r="H5" i="42"/>
  <c r="E109" i="41" s="1"/>
  <c r="K28" i="25"/>
  <c r="K7" i="42" s="1"/>
  <c r="H24" i="42"/>
  <c r="J23" i="42"/>
  <c r="J16" i="42"/>
  <c r="L25" i="11"/>
  <c r="L20" i="25" s="1"/>
  <c r="L29" i="25" s="1"/>
  <c r="L8" i="42" s="1"/>
  <c r="L158" i="6"/>
  <c r="K17" i="42"/>
  <c r="K175" i="47"/>
  <c r="K146" i="47"/>
  <c r="K112" i="47"/>
  <c r="K113" i="47" s="1"/>
  <c r="M108" i="47"/>
  <c r="M109" i="47" s="1"/>
  <c r="M140" i="47"/>
  <c r="L115" i="47"/>
  <c r="L116" i="47" s="1"/>
  <c r="L111" i="47"/>
  <c r="L141" i="47" s="1"/>
  <c r="L130" i="47" s="1"/>
  <c r="L110" i="47"/>
  <c r="M9" i="42"/>
  <c r="G31" i="25"/>
  <c r="H32" i="25"/>
  <c r="J33" i="25"/>
  <c r="I32" i="25"/>
  <c r="I33" i="25"/>
  <c r="H33" i="25"/>
  <c r="J32" i="25"/>
  <c r="G22" i="29"/>
  <c r="G11" i="29" s="1"/>
  <c r="G27" i="28"/>
  <c r="I15" i="25"/>
  <c r="J15" i="25"/>
  <c r="H15" i="25"/>
  <c r="K17" i="25"/>
  <c r="K24" i="42" s="1"/>
  <c r="K16" i="25"/>
  <c r="O17" i="11"/>
  <c r="O18" i="11" s="1"/>
  <c r="O13" i="11"/>
  <c r="K32" i="28"/>
  <c r="M21" i="26"/>
  <c r="M25" i="42" s="1"/>
  <c r="M24" i="28"/>
  <c r="M25" i="28" s="1"/>
  <c r="M21" i="29"/>
  <c r="L6" i="25"/>
  <c r="L31" i="28"/>
  <c r="L26" i="28"/>
  <c r="M21" i="10"/>
  <c r="M24" i="11"/>
  <c r="N19" i="26"/>
  <c r="N157" i="6" s="1"/>
  <c r="N13" i="26"/>
  <c r="D9" i="11"/>
  <c r="H15" i="42" l="1"/>
  <c r="I15" i="42"/>
  <c r="H30" i="42"/>
  <c r="J15" i="42"/>
  <c r="K16" i="42"/>
  <c r="G163" i="6"/>
  <c r="G11" i="10"/>
  <c r="G56" i="10" s="1"/>
  <c r="J29" i="42"/>
  <c r="I29" i="42"/>
  <c r="K30" i="42"/>
  <c r="G28" i="11"/>
  <c r="G29" i="11" s="1"/>
  <c r="G164" i="6"/>
  <c r="H27" i="11"/>
  <c r="H22" i="10"/>
  <c r="I27" i="11"/>
  <c r="M159" i="6"/>
  <c r="J27" i="11"/>
  <c r="I22" i="10"/>
  <c r="K80" i="47"/>
  <c r="K197" i="47"/>
  <c r="K23" i="42"/>
  <c r="J22" i="10"/>
  <c r="K27" i="25"/>
  <c r="K162" i="6" s="1"/>
  <c r="K5" i="42"/>
  <c r="H109" i="41" s="1"/>
  <c r="L28" i="25"/>
  <c r="L7" i="42" s="1"/>
  <c r="M25" i="11"/>
  <c r="M20" i="25" s="1"/>
  <c r="M29" i="25" s="1"/>
  <c r="M8" i="42" s="1"/>
  <c r="M158" i="6"/>
  <c r="L17" i="42"/>
  <c r="G28" i="42"/>
  <c r="G22" i="42"/>
  <c r="L112" i="47"/>
  <c r="L113" i="47" s="1"/>
  <c r="M115" i="47"/>
  <c r="M116" i="47" s="1"/>
  <c r="M111" i="47"/>
  <c r="M141" i="47" s="1"/>
  <c r="M130" i="47" s="1"/>
  <c r="M110" i="47"/>
  <c r="N108" i="47"/>
  <c r="N109" i="47" s="1"/>
  <c r="N140" i="47"/>
  <c r="L175" i="47"/>
  <c r="L146" i="47"/>
  <c r="I82" i="47"/>
  <c r="H82" i="47"/>
  <c r="G82" i="47"/>
  <c r="N9" i="42"/>
  <c r="H31" i="25"/>
  <c r="J31" i="25"/>
  <c r="I31" i="25"/>
  <c r="K32" i="25"/>
  <c r="K33" i="25"/>
  <c r="G28" i="28"/>
  <c r="G56" i="29"/>
  <c r="G27" i="29"/>
  <c r="I22" i="29"/>
  <c r="I11" i="29" s="1"/>
  <c r="I27" i="28"/>
  <c r="K15" i="25"/>
  <c r="J27" i="28"/>
  <c r="J22" i="29"/>
  <c r="J11" i="29" s="1"/>
  <c r="L17" i="25"/>
  <c r="L24" i="42" s="1"/>
  <c r="L16" i="25"/>
  <c r="H27" i="28"/>
  <c r="H22" i="29"/>
  <c r="H11" i="29" s="1"/>
  <c r="L32" i="28"/>
  <c r="N24" i="28"/>
  <c r="N25" i="28" s="1"/>
  <c r="N21" i="29"/>
  <c r="M6" i="25"/>
  <c r="M26" i="28"/>
  <c r="M31" i="28"/>
  <c r="N21" i="10"/>
  <c r="N24" i="11"/>
  <c r="N21" i="26"/>
  <c r="N25" i="42" s="1"/>
  <c r="O19" i="26"/>
  <c r="O157" i="6" s="1"/>
  <c r="O13" i="26"/>
  <c r="D6" i="11"/>
  <c r="D12" i="11" s="1"/>
  <c r="K15" i="42" l="1"/>
  <c r="I164" i="6"/>
  <c r="J163" i="6"/>
  <c r="L16" i="42"/>
  <c r="H11" i="10"/>
  <c r="H27" i="10" s="1"/>
  <c r="H89" i="6" s="1"/>
  <c r="G27" i="10"/>
  <c r="D34" i="41" s="1"/>
  <c r="D31" i="41" s="1"/>
  <c r="D36" i="41" s="1"/>
  <c r="H163" i="6"/>
  <c r="I163" i="6"/>
  <c r="L30" i="42"/>
  <c r="K29" i="42"/>
  <c r="H28" i="11"/>
  <c r="H29" i="11" s="1"/>
  <c r="G38" i="28"/>
  <c r="I28" i="11"/>
  <c r="I29" i="11" s="1"/>
  <c r="J28" i="11"/>
  <c r="J38" i="28" s="1"/>
  <c r="H164" i="6"/>
  <c r="K22" i="10"/>
  <c r="K27" i="11"/>
  <c r="J11" i="10"/>
  <c r="J27" i="10" s="1"/>
  <c r="N159" i="6"/>
  <c r="I11" i="10"/>
  <c r="I56" i="10" s="1"/>
  <c r="J164" i="6"/>
  <c r="L80" i="47"/>
  <c r="L197" i="47"/>
  <c r="L27" i="25"/>
  <c r="L162" i="6" s="1"/>
  <c r="L23" i="42"/>
  <c r="L5" i="42"/>
  <c r="I109" i="41" s="1"/>
  <c r="M28" i="25"/>
  <c r="M7" i="42" s="1"/>
  <c r="N25" i="11"/>
  <c r="N20" i="25" s="1"/>
  <c r="N29" i="25" s="1"/>
  <c r="N8" i="42" s="1"/>
  <c r="N158" i="6"/>
  <c r="M17" i="42"/>
  <c r="J28" i="42"/>
  <c r="H28" i="42"/>
  <c r="I22" i="42"/>
  <c r="I28" i="42"/>
  <c r="J22" i="42"/>
  <c r="H22" i="42"/>
  <c r="M112" i="47"/>
  <c r="M113" i="47" s="1"/>
  <c r="M175" i="47"/>
  <c r="M146" i="47"/>
  <c r="O108" i="47"/>
  <c r="O109" i="47" s="1"/>
  <c r="O140" i="47"/>
  <c r="N115" i="47"/>
  <c r="N116" i="47" s="1"/>
  <c r="N111" i="47"/>
  <c r="N141" i="47" s="1"/>
  <c r="N130" i="47" s="1"/>
  <c r="N110" i="47"/>
  <c r="J82" i="47"/>
  <c r="O9" i="42"/>
  <c r="K31" i="25"/>
  <c r="L33" i="25"/>
  <c r="L32" i="25"/>
  <c r="G29" i="32"/>
  <c r="G31" i="32" s="1"/>
  <c r="G39" i="28"/>
  <c r="G29" i="28"/>
  <c r="I28" i="28"/>
  <c r="I27" i="29"/>
  <c r="I56" i="29"/>
  <c r="K22" i="29"/>
  <c r="K11" i="29" s="1"/>
  <c r="K27" i="28"/>
  <c r="L15" i="25"/>
  <c r="J56" i="29"/>
  <c r="J27" i="29"/>
  <c r="J28" i="28"/>
  <c r="H56" i="29"/>
  <c r="H27" i="29"/>
  <c r="H28" i="28"/>
  <c r="M16" i="25"/>
  <c r="M17" i="25"/>
  <c r="M24" i="42" s="1"/>
  <c r="M32" i="28"/>
  <c r="O24" i="28"/>
  <c r="O25" i="28" s="1"/>
  <c r="O21" i="29"/>
  <c r="N6" i="25"/>
  <c r="N31" i="28"/>
  <c r="N26" i="28"/>
  <c r="O21" i="10"/>
  <c r="O24" i="11"/>
  <c r="O21" i="26"/>
  <c r="O25" i="42" s="1"/>
  <c r="D17" i="11"/>
  <c r="D13" i="11"/>
  <c r="H198" i="47" l="1"/>
  <c r="H199" i="47" s="1"/>
  <c r="E34" i="41"/>
  <c r="E31" i="41" s="1"/>
  <c r="E36" i="41" s="1"/>
  <c r="H30" i="12"/>
  <c r="H32" i="12" s="1"/>
  <c r="H56" i="10"/>
  <c r="G198" i="47"/>
  <c r="G199" i="47" s="1"/>
  <c r="G89" i="6"/>
  <c r="G30" i="12"/>
  <c r="G90" i="6" s="1"/>
  <c r="L15" i="42"/>
  <c r="M30" i="42"/>
  <c r="M5" i="42"/>
  <c r="J109" i="41" s="1"/>
  <c r="L29" i="42"/>
  <c r="K163" i="6"/>
  <c r="K11" i="10"/>
  <c r="K27" i="10" s="1"/>
  <c r="K89" i="6" s="1"/>
  <c r="I38" i="28"/>
  <c r="J29" i="11"/>
  <c r="G40" i="28"/>
  <c r="G41" i="28" s="1"/>
  <c r="H38" i="28"/>
  <c r="J56" i="10"/>
  <c r="K28" i="11"/>
  <c r="K38" i="28" s="1"/>
  <c r="K164" i="6"/>
  <c r="L27" i="11"/>
  <c r="G34" i="41"/>
  <c r="G31" i="41" s="1"/>
  <c r="G36" i="41" s="1"/>
  <c r="J89" i="6"/>
  <c r="J198" i="47"/>
  <c r="J199" i="47" s="1"/>
  <c r="J30" i="12"/>
  <c r="J32" i="12" s="1"/>
  <c r="I27" i="10"/>
  <c r="O159" i="6"/>
  <c r="M80" i="47"/>
  <c r="M197" i="47"/>
  <c r="L22" i="10"/>
  <c r="M16" i="42"/>
  <c r="M27" i="25"/>
  <c r="M162" i="6" s="1"/>
  <c r="M23" i="42"/>
  <c r="N28" i="25"/>
  <c r="N7" i="42" s="1"/>
  <c r="O25" i="11"/>
  <c r="O20" i="25" s="1"/>
  <c r="O29" i="25" s="1"/>
  <c r="O8" i="42" s="1"/>
  <c r="O158" i="6"/>
  <c r="N17" i="42"/>
  <c r="K22" i="42"/>
  <c r="K28" i="42"/>
  <c r="N112" i="47"/>
  <c r="N113" i="47" s="1"/>
  <c r="N175" i="47"/>
  <c r="N146" i="47"/>
  <c r="O115" i="47"/>
  <c r="O116" i="47" s="1"/>
  <c r="O111" i="47"/>
  <c r="O110" i="47"/>
  <c r="K82" i="47"/>
  <c r="L31" i="25"/>
  <c r="M33" i="25"/>
  <c r="M32" i="25"/>
  <c r="I29" i="32"/>
  <c r="I31" i="32" s="1"/>
  <c r="I29" i="28"/>
  <c r="I39" i="28"/>
  <c r="K28" i="28"/>
  <c r="K56" i="29"/>
  <c r="K27" i="29"/>
  <c r="J39" i="28"/>
  <c r="J40" i="28" s="1"/>
  <c r="J41" i="28" s="1"/>
  <c r="J29" i="28"/>
  <c r="J29" i="32"/>
  <c r="J31" i="32" s="1"/>
  <c r="M15" i="25"/>
  <c r="L22" i="29"/>
  <c r="L11" i="29" s="1"/>
  <c r="L27" i="28"/>
  <c r="N17" i="25"/>
  <c r="N24" i="42" s="1"/>
  <c r="N16" i="25"/>
  <c r="H39" i="28"/>
  <c r="H29" i="28"/>
  <c r="H29" i="32"/>
  <c r="H31" i="32" s="1"/>
  <c r="N32" i="28"/>
  <c r="O6" i="25"/>
  <c r="O26" i="28"/>
  <c r="O31" i="28"/>
  <c r="I26" i="11"/>
  <c r="I31" i="11"/>
  <c r="G31" i="11"/>
  <c r="G26" i="11"/>
  <c r="H26" i="11"/>
  <c r="H31" i="11"/>
  <c r="J31" i="11"/>
  <c r="J26" i="11"/>
  <c r="K26" i="11"/>
  <c r="K31" i="11"/>
  <c r="L31" i="11"/>
  <c r="L26" i="11"/>
  <c r="M26" i="11"/>
  <c r="M31" i="11"/>
  <c r="N31" i="11"/>
  <c r="N26" i="11"/>
  <c r="H90" i="6" l="1"/>
  <c r="G32" i="12"/>
  <c r="L163" i="6"/>
  <c r="H34" i="41"/>
  <c r="H31" i="41" s="1"/>
  <c r="H36" i="41" s="1"/>
  <c r="N30" i="42"/>
  <c r="K30" i="12"/>
  <c r="K32" i="12" s="1"/>
  <c r="K198" i="47"/>
  <c r="K199" i="47" s="1"/>
  <c r="N16" i="42"/>
  <c r="M29" i="42"/>
  <c r="M15" i="42"/>
  <c r="K56" i="10"/>
  <c r="I40" i="28"/>
  <c r="I41" i="28" s="1"/>
  <c r="K29" i="11"/>
  <c r="H40" i="28"/>
  <c r="H41" i="28" s="1"/>
  <c r="L28" i="11"/>
  <c r="L38" i="28" s="1"/>
  <c r="J90" i="6"/>
  <c r="I198" i="47"/>
  <c r="I199" i="47" s="1"/>
  <c r="I30" i="12"/>
  <c r="F34" i="41"/>
  <c r="F31" i="41" s="1"/>
  <c r="F36" i="41" s="1"/>
  <c r="I89" i="6"/>
  <c r="L164" i="6"/>
  <c r="L11" i="10"/>
  <c r="L27" i="10" s="1"/>
  <c r="N80" i="47"/>
  <c r="N197" i="47"/>
  <c r="O26" i="11"/>
  <c r="M22" i="10"/>
  <c r="M27" i="11"/>
  <c r="O31" i="11"/>
  <c r="O32" i="11" s="1"/>
  <c r="O28" i="25"/>
  <c r="O7" i="42" s="1"/>
  <c r="N23" i="42"/>
  <c r="N5" i="42"/>
  <c r="K109" i="41" s="1"/>
  <c r="N27" i="25"/>
  <c r="N162" i="6" s="1"/>
  <c r="O17" i="42"/>
  <c r="L28" i="42"/>
  <c r="L22" i="42"/>
  <c r="O112" i="47"/>
  <c r="O113" i="47" s="1"/>
  <c r="O141" i="47"/>
  <c r="O130" i="47" s="1"/>
  <c r="L82" i="47"/>
  <c r="M31" i="25"/>
  <c r="N32" i="25"/>
  <c r="N33" i="25"/>
  <c r="M27" i="28"/>
  <c r="M28" i="28" s="1"/>
  <c r="N15" i="25"/>
  <c r="K29" i="32"/>
  <c r="K31" i="32" s="1"/>
  <c r="K39" i="28"/>
  <c r="K40" i="28" s="1"/>
  <c r="K41" i="28" s="1"/>
  <c r="K29" i="28"/>
  <c r="L56" i="29"/>
  <c r="L27" i="29"/>
  <c r="L28" i="28"/>
  <c r="M22" i="29"/>
  <c r="M11" i="29" s="1"/>
  <c r="O16" i="25"/>
  <c r="O17" i="25"/>
  <c r="O24" i="42" s="1"/>
  <c r="O32" i="28"/>
  <c r="G32" i="11"/>
  <c r="M32" i="11"/>
  <c r="I32" i="11"/>
  <c r="K32" i="11"/>
  <c r="J32" i="11"/>
  <c r="L32" i="11"/>
  <c r="H32" i="11"/>
  <c r="N32" i="11"/>
  <c r="A2" i="10"/>
  <c r="N15" i="42" l="1"/>
  <c r="K90" i="6"/>
  <c r="N29" i="42"/>
  <c r="M163" i="6"/>
  <c r="O16" i="42"/>
  <c r="O30" i="42"/>
  <c r="L29" i="11"/>
  <c r="L56" i="10"/>
  <c r="M11" i="10"/>
  <c r="M56" i="10" s="1"/>
  <c r="I32" i="12"/>
  <c r="I90" i="6"/>
  <c r="M164" i="6"/>
  <c r="L89" i="6"/>
  <c r="L198" i="47"/>
  <c r="L199" i="47" s="1"/>
  <c r="M28" i="11"/>
  <c r="M29" i="11" s="1"/>
  <c r="N22" i="10"/>
  <c r="N27" i="11"/>
  <c r="L30" i="12"/>
  <c r="L90" i="6" s="1"/>
  <c r="I34" i="41"/>
  <c r="I31" i="41" s="1"/>
  <c r="I36" i="41" s="1"/>
  <c r="O27" i="25"/>
  <c r="O162" i="6" s="1"/>
  <c r="O23" i="42"/>
  <c r="O5" i="42"/>
  <c r="L109" i="41" s="1"/>
  <c r="M28" i="42"/>
  <c r="M22" i="42"/>
  <c r="O146" i="47"/>
  <c r="O175" i="47"/>
  <c r="M82" i="47"/>
  <c r="N31" i="25"/>
  <c r="O33" i="25"/>
  <c r="O32" i="25"/>
  <c r="M39" i="28"/>
  <c r="M29" i="28"/>
  <c r="N22" i="29"/>
  <c r="N11" i="29" s="1"/>
  <c r="N27" i="28"/>
  <c r="M27" i="29"/>
  <c r="M56" i="29"/>
  <c r="L29" i="28"/>
  <c r="L39" i="28"/>
  <c r="L40" i="28" s="1"/>
  <c r="L41" i="28" s="1"/>
  <c r="L29" i="32"/>
  <c r="L31" i="32" s="1"/>
  <c r="O15" i="25"/>
  <c r="O31" i="9"/>
  <c r="N31" i="9"/>
  <c r="M31" i="9"/>
  <c r="L31" i="9"/>
  <c r="K31" i="9"/>
  <c r="J31" i="9"/>
  <c r="I31" i="9"/>
  <c r="H31" i="9"/>
  <c r="O26" i="9"/>
  <c r="N26" i="9"/>
  <c r="M26" i="9"/>
  <c r="L26" i="9"/>
  <c r="K26" i="9"/>
  <c r="J26" i="9"/>
  <c r="I26" i="9"/>
  <c r="H26" i="9"/>
  <c r="F31" i="9"/>
  <c r="G31" i="9"/>
  <c r="F26" i="9"/>
  <c r="G26" i="9"/>
  <c r="A2" i="2"/>
  <c r="A2" i="4"/>
  <c r="A2" i="7"/>
  <c r="A2" i="5"/>
  <c r="O15" i="42" l="1"/>
  <c r="N163" i="6"/>
  <c r="O29" i="42"/>
  <c r="M27" i="10"/>
  <c r="M30" i="12" s="1"/>
  <c r="M32" i="12" s="1"/>
  <c r="M38" i="28"/>
  <c r="M40" i="28" s="1"/>
  <c r="M41" i="28" s="1"/>
  <c r="N11" i="10"/>
  <c r="N27" i="10" s="1"/>
  <c r="N89" i="6" s="1"/>
  <c r="L32" i="12"/>
  <c r="N164" i="6"/>
  <c r="O80" i="47"/>
  <c r="O197" i="47"/>
  <c r="N28" i="11"/>
  <c r="N29" i="11" s="1"/>
  <c r="O27" i="11"/>
  <c r="O22" i="10"/>
  <c r="N22" i="42"/>
  <c r="N28" i="42"/>
  <c r="N82" i="47"/>
  <c r="O31" i="25"/>
  <c r="N28" i="28"/>
  <c r="N56" i="29"/>
  <c r="N27" i="29"/>
  <c r="M29" i="32"/>
  <c r="M31" i="32" s="1"/>
  <c r="O27" i="28"/>
  <c r="O22" i="29"/>
  <c r="O11" i="29" s="1"/>
  <c r="D5" i="5"/>
  <c r="C31" i="4"/>
  <c r="O163" i="6" l="1"/>
  <c r="J34" i="41"/>
  <c r="J31" i="41" s="1"/>
  <c r="J36" i="41" s="1"/>
  <c r="M198" i="47"/>
  <c r="M199" i="47" s="1"/>
  <c r="M89" i="6"/>
  <c r="N56" i="10"/>
  <c r="N30" i="12"/>
  <c r="N32" i="12" s="1"/>
  <c r="K34" i="41"/>
  <c r="K31" i="41" s="1"/>
  <c r="K36" i="41" s="1"/>
  <c r="O164" i="6"/>
  <c r="O11" i="10"/>
  <c r="O27" i="10" s="1"/>
  <c r="L34" i="41" s="1"/>
  <c r="L31" i="41" s="1"/>
  <c r="L36" i="41" s="1"/>
  <c r="N198" i="47"/>
  <c r="N199" i="47" s="1"/>
  <c r="N38" i="28"/>
  <c r="M90" i="6"/>
  <c r="O28" i="11"/>
  <c r="O29" i="11" s="1"/>
  <c r="O28" i="42"/>
  <c r="O22" i="42"/>
  <c r="O82" i="47"/>
  <c r="N29" i="32"/>
  <c r="N31" i="32" s="1"/>
  <c r="N29" i="28"/>
  <c r="N39" i="28"/>
  <c r="O56" i="29"/>
  <c r="O27" i="29"/>
  <c r="O28" i="28"/>
  <c r="F18" i="11"/>
  <c r="N90" i="6" l="1"/>
  <c r="O56" i="10"/>
  <c r="O38" i="28"/>
  <c r="O89" i="6"/>
  <c r="O198" i="47"/>
  <c r="O199" i="47" s="1"/>
  <c r="O30" i="12"/>
  <c r="O32" i="12" s="1"/>
  <c r="N40" i="28"/>
  <c r="N41" i="28" s="1"/>
  <c r="O39" i="28"/>
  <c r="O29" i="28"/>
  <c r="O29" i="32"/>
  <c r="O31" i="32" s="1"/>
  <c r="D18" i="11"/>
  <c r="O40" i="28" l="1"/>
  <c r="O41" i="28" s="1"/>
  <c r="O90" i="6"/>
  <c r="F19" i="26"/>
  <c r="F157" i="6" s="1"/>
  <c r="D157" i="6" s="1"/>
  <c r="F13" i="26"/>
  <c r="F108" i="47" l="1"/>
  <c r="F140" i="47"/>
  <c r="F9" i="42"/>
  <c r="F21" i="29"/>
  <c r="D21" i="29" s="1"/>
  <c r="F24" i="28"/>
  <c r="D19" i="26"/>
  <c r="F24" i="11"/>
  <c r="F158" i="6" s="1"/>
  <c r="D158" i="6" s="1"/>
  <c r="F21" i="10"/>
  <c r="D13" i="26"/>
  <c r="F21" i="26"/>
  <c r="D21" i="10" l="1"/>
  <c r="F159" i="6"/>
  <c r="D159" i="6" s="1"/>
  <c r="D9" i="42"/>
  <c r="C70" i="41" s="1"/>
  <c r="D21" i="26"/>
  <c r="D59" i="26" s="1"/>
  <c r="F25" i="42"/>
  <c r="D25" i="42" s="1"/>
  <c r="D108" i="47"/>
  <c r="D109" i="47" s="1"/>
  <c r="F109" i="47"/>
  <c r="F111" i="47" s="1"/>
  <c r="D140" i="47"/>
  <c r="C59" i="26"/>
  <c r="D24" i="11"/>
  <c r="D25" i="11" s="1"/>
  <c r="F25" i="11"/>
  <c r="D24" i="28"/>
  <c r="D25" i="28" s="1"/>
  <c r="F25" i="28"/>
  <c r="A25" i="42" l="1"/>
  <c r="C66" i="1"/>
  <c r="D75" i="1"/>
  <c r="C74" i="1"/>
  <c r="C75" i="1"/>
  <c r="D74" i="1"/>
  <c r="E25" i="42"/>
  <c r="D70" i="41"/>
  <c r="F110" i="47"/>
  <c r="F115" i="47"/>
  <c r="F116" i="47" s="1"/>
  <c r="D115" i="47"/>
  <c r="D116" i="47" s="1"/>
  <c r="D110" i="47"/>
  <c r="F6" i="25"/>
  <c r="F17" i="25" s="1"/>
  <c r="F31" i="28"/>
  <c r="F26" i="28"/>
  <c r="D26" i="28"/>
  <c r="D31" i="28"/>
  <c r="F20" i="25"/>
  <c r="F26" i="11"/>
  <c r="F31" i="11"/>
  <c r="D26" i="11"/>
  <c r="D31" i="11"/>
  <c r="F112" i="47" l="1"/>
  <c r="F141" i="47"/>
  <c r="F130" i="47" s="1"/>
  <c r="D111" i="47"/>
  <c r="D112" i="47" s="1"/>
  <c r="H62" i="47" s="1"/>
  <c r="D17" i="25"/>
  <c r="F28" i="25"/>
  <c r="F7" i="42" s="1"/>
  <c r="F29" i="25"/>
  <c r="F16" i="25"/>
  <c r="D32" i="28"/>
  <c r="F32" i="28"/>
  <c r="F32" i="11"/>
  <c r="D32" i="11"/>
  <c r="D20" i="25"/>
  <c r="D6" i="25"/>
  <c r="F23" i="42" l="1"/>
  <c r="F16" i="42"/>
  <c r="D113" i="47"/>
  <c r="H44" i="47"/>
  <c r="H53" i="47"/>
  <c r="D141" i="47"/>
  <c r="F118" i="47"/>
  <c r="G118" i="47" s="1"/>
  <c r="H118" i="47" s="1"/>
  <c r="I118" i="47" s="1"/>
  <c r="J118" i="47" s="1"/>
  <c r="K118" i="47" s="1"/>
  <c r="L118" i="47" s="1"/>
  <c r="M118" i="47" s="1"/>
  <c r="N118" i="47" s="1"/>
  <c r="O118" i="47" s="1"/>
  <c r="F113" i="47"/>
  <c r="D7" i="42"/>
  <c r="F32" i="25"/>
  <c r="D32" i="25" s="1"/>
  <c r="A32" i="25" s="1"/>
  <c r="D29" i="25"/>
  <c r="A29" i="25" s="1"/>
  <c r="F8" i="42"/>
  <c r="F33" i="25"/>
  <c r="D33" i="25" s="1"/>
  <c r="A33" i="25" s="1"/>
  <c r="D28" i="25"/>
  <c r="A28" i="25" s="1"/>
  <c r="F27" i="25"/>
  <c r="F162" i="6" s="1"/>
  <c r="D162" i="6" s="1"/>
  <c r="D16" i="25"/>
  <c r="F15" i="25"/>
  <c r="F24" i="42" l="1"/>
  <c r="D130" i="47"/>
  <c r="D146" i="47" s="1"/>
  <c r="F29" i="42"/>
  <c r="D29" i="42" s="1"/>
  <c r="F5" i="42"/>
  <c r="C109" i="41" s="1"/>
  <c r="F17" i="42"/>
  <c r="F146" i="47"/>
  <c r="D15" i="25"/>
  <c r="D27" i="25"/>
  <c r="A27" i="25" s="1"/>
  <c r="D16" i="42"/>
  <c r="D8" i="42"/>
  <c r="D5" i="42" s="1"/>
  <c r="F22" i="10"/>
  <c r="F31" i="25"/>
  <c r="D31" i="25" s="1"/>
  <c r="A31" i="25" s="1"/>
  <c r="F27" i="11"/>
  <c r="F22" i="29"/>
  <c r="F27" i="28"/>
  <c r="C60" i="1" l="1"/>
  <c r="A16" i="42"/>
  <c r="E29" i="42"/>
  <c r="F30" i="42"/>
  <c r="F163" i="6"/>
  <c r="D163" i="6" s="1"/>
  <c r="F11" i="10"/>
  <c r="F27" i="10" s="1"/>
  <c r="F11" i="29"/>
  <c r="F27" i="29" s="1"/>
  <c r="F80" i="47"/>
  <c r="F197" i="47"/>
  <c r="D22" i="10"/>
  <c r="F164" i="6"/>
  <c r="D164" i="6" s="1"/>
  <c r="D72" i="41"/>
  <c r="E16" i="42"/>
  <c r="C69" i="41"/>
  <c r="F15" i="42"/>
  <c r="C72" i="41"/>
  <c r="D17" i="42"/>
  <c r="D24" i="42"/>
  <c r="D23" i="42"/>
  <c r="D27" i="11"/>
  <c r="D28" i="11" s="1"/>
  <c r="F28" i="11"/>
  <c r="D22" i="29"/>
  <c r="D27" i="28"/>
  <c r="D28" i="28" s="1"/>
  <c r="D29" i="28" s="1"/>
  <c r="F28" i="28"/>
  <c r="A24" i="42" l="1"/>
  <c r="C65" i="1"/>
  <c r="A23" i="42"/>
  <c r="C64" i="1"/>
  <c r="A17" i="42"/>
  <c r="C61" i="1"/>
  <c r="C59" i="1" s="1"/>
  <c r="C114" i="1"/>
  <c r="F29" i="32"/>
  <c r="D29" i="32" s="1"/>
  <c r="D11" i="29"/>
  <c r="D27" i="29" s="1"/>
  <c r="D11" i="10"/>
  <c r="D27" i="10" s="1"/>
  <c r="F89" i="6"/>
  <c r="D89" i="6" s="1"/>
  <c r="F198" i="47"/>
  <c r="D198" i="47" s="1"/>
  <c r="D197" i="47"/>
  <c r="D69" i="41"/>
  <c r="F22" i="42"/>
  <c r="D15" i="42"/>
  <c r="E17" i="42"/>
  <c r="C34" i="41"/>
  <c r="M34" i="41" s="1"/>
  <c r="B47" i="11"/>
  <c r="C73" i="41"/>
  <c r="C71" i="41" s="1"/>
  <c r="C77" i="41" s="1"/>
  <c r="M109" i="41"/>
  <c r="D29" i="11"/>
  <c r="F38" i="28"/>
  <c r="D38" i="28" s="1"/>
  <c r="F35" i="11"/>
  <c r="F29" i="11"/>
  <c r="F30" i="12"/>
  <c r="F44" i="28"/>
  <c r="F29" i="28"/>
  <c r="F35" i="28"/>
  <c r="G35" i="28" s="1"/>
  <c r="F39" i="28"/>
  <c r="D39" i="28" s="1"/>
  <c r="F45" i="28"/>
  <c r="C63" i="1" l="1"/>
  <c r="F199" i="47"/>
  <c r="D199" i="47" s="1"/>
  <c r="G35" i="11"/>
  <c r="G86" i="6" s="1"/>
  <c r="F86" i="6"/>
  <c r="D30" i="12"/>
  <c r="F90" i="6"/>
  <c r="D90" i="6" s="1"/>
  <c r="E15" i="42"/>
  <c r="A15" i="42"/>
  <c r="F28" i="42"/>
  <c r="D30" i="42"/>
  <c r="D22" i="42"/>
  <c r="C31" i="41"/>
  <c r="M31" i="41" s="1"/>
  <c r="B48" i="11"/>
  <c r="D80" i="47"/>
  <c r="F25" i="9"/>
  <c r="F40" i="28"/>
  <c r="F41" i="28" s="1"/>
  <c r="D40" i="28"/>
  <c r="D41" i="28" s="1"/>
  <c r="F25" i="31"/>
  <c r="F23" i="31" s="1"/>
  <c r="H35" i="28"/>
  <c r="G25" i="31"/>
  <c r="C117" i="1" l="1"/>
  <c r="D73" i="41"/>
  <c r="D71" i="41" s="1"/>
  <c r="D77" i="41" s="1"/>
  <c r="G25" i="9"/>
  <c r="H35" i="11"/>
  <c r="H86" i="6" s="1"/>
  <c r="F69" i="6"/>
  <c r="F87" i="6"/>
  <c r="E22" i="42"/>
  <c r="A22" i="42"/>
  <c r="E30" i="42"/>
  <c r="D28" i="42"/>
  <c r="E28" i="42" s="1"/>
  <c r="C36" i="41"/>
  <c r="M36" i="41" s="1"/>
  <c r="F23" i="9"/>
  <c r="F76" i="6"/>
  <c r="F40" i="31"/>
  <c r="G23" i="31"/>
  <c r="G76" i="6"/>
  <c r="I35" i="28"/>
  <c r="H25" i="31"/>
  <c r="D121" i="14"/>
  <c r="F7" i="14"/>
  <c r="F123" i="14"/>
  <c r="G69" i="6" l="1"/>
  <c r="F154" i="47"/>
  <c r="D154" i="47" s="1"/>
  <c r="D153" i="47" s="1"/>
  <c r="F184" i="6"/>
  <c r="D184" i="6" s="1"/>
  <c r="H25" i="9"/>
  <c r="I35" i="11"/>
  <c r="I86" i="6" s="1"/>
  <c r="G87" i="6"/>
  <c r="G23" i="9"/>
  <c r="G40" i="9" s="1"/>
  <c r="F8" i="14"/>
  <c r="F40" i="9"/>
  <c r="C42" i="41"/>
  <c r="C51" i="41"/>
  <c r="G40" i="31"/>
  <c r="H23" i="31"/>
  <c r="H76" i="6"/>
  <c r="J35" i="28"/>
  <c r="I25" i="31"/>
  <c r="F35" i="10"/>
  <c r="F185" i="6" s="1"/>
  <c r="F35" i="29"/>
  <c r="D122" i="14"/>
  <c r="D7" i="14"/>
  <c r="D5" i="41" s="1"/>
  <c r="F127" i="14"/>
  <c r="F11" i="14" s="1"/>
  <c r="F7" i="31" s="1"/>
  <c r="F5" i="31" s="1"/>
  <c r="D123" i="14"/>
  <c r="F9" i="14"/>
  <c r="H23" i="9" l="1"/>
  <c r="H40" i="9" s="1"/>
  <c r="F153" i="47"/>
  <c r="F175" i="47" s="1"/>
  <c r="D175" i="47" s="1"/>
  <c r="I25" i="9"/>
  <c r="J35" i="11"/>
  <c r="J86" i="6" s="1"/>
  <c r="F151" i="47"/>
  <c r="F149" i="47" s="1"/>
  <c r="F174" i="47" s="1"/>
  <c r="D174" i="47" s="1"/>
  <c r="F180" i="6"/>
  <c r="D180" i="6" s="1"/>
  <c r="D35" i="10"/>
  <c r="D34" i="10" s="1"/>
  <c r="D185" i="6"/>
  <c r="H87" i="6"/>
  <c r="H69" i="6"/>
  <c r="C45" i="41"/>
  <c r="M45" i="41" s="1"/>
  <c r="F32" i="29"/>
  <c r="D32" i="29" s="1"/>
  <c r="D30" i="29" s="1"/>
  <c r="F32" i="10"/>
  <c r="D8" i="14"/>
  <c r="F6" i="22"/>
  <c r="D6" i="22" s="1"/>
  <c r="H40" i="31"/>
  <c r="C53" i="41"/>
  <c r="M53" i="41" s="1"/>
  <c r="M51" i="41"/>
  <c r="C44" i="41"/>
  <c r="M42" i="41"/>
  <c r="I23" i="31"/>
  <c r="I76" i="6"/>
  <c r="K35" i="28"/>
  <c r="J25" i="31"/>
  <c r="D9" i="14"/>
  <c r="C54" i="1" s="1"/>
  <c r="F14" i="14"/>
  <c r="D14" i="14" s="1"/>
  <c r="F34" i="10"/>
  <c r="F56" i="10" s="1"/>
  <c r="D56" i="10" s="1"/>
  <c r="D35" i="29"/>
  <c r="D34" i="29" s="1"/>
  <c r="F34" i="29"/>
  <c r="F56" i="29" s="1"/>
  <c r="D56" i="29" s="1"/>
  <c r="F5" i="9"/>
  <c r="G127" i="14"/>
  <c r="I23" i="9" l="1"/>
  <c r="I40" i="9" s="1"/>
  <c r="F157" i="47"/>
  <c r="F201" i="47" s="1"/>
  <c r="D151" i="47"/>
  <c r="D149" i="47" s="1"/>
  <c r="D157" i="47" s="1"/>
  <c r="J25" i="9"/>
  <c r="K35" i="11"/>
  <c r="K86" i="6" s="1"/>
  <c r="I69" i="6"/>
  <c r="I87" i="6"/>
  <c r="D32" i="10"/>
  <c r="D30" i="10" s="1"/>
  <c r="D38" i="10" s="1"/>
  <c r="F181" i="6"/>
  <c r="D181" i="6" s="1"/>
  <c r="F30" i="29"/>
  <c r="F55" i="29" s="1"/>
  <c r="D55" i="29" s="1"/>
  <c r="D38" i="29"/>
  <c r="F30" i="10"/>
  <c r="F55" i="10" s="1"/>
  <c r="F58" i="10" s="1"/>
  <c r="F177" i="47"/>
  <c r="F77" i="47" s="1"/>
  <c r="D177" i="47"/>
  <c r="C5" i="41"/>
  <c r="I40" i="31"/>
  <c r="M44" i="41"/>
  <c r="M46" i="41" s="1"/>
  <c r="C46" i="41"/>
  <c r="C105" i="41" s="1"/>
  <c r="J23" i="31"/>
  <c r="J76" i="6"/>
  <c r="L35" i="28"/>
  <c r="K25" i="31"/>
  <c r="G11" i="14"/>
  <c r="H127" i="14"/>
  <c r="J69" i="6" l="1"/>
  <c r="F81" i="47"/>
  <c r="J23" i="9"/>
  <c r="J40" i="9" s="1"/>
  <c r="L35" i="11"/>
  <c r="L86" i="6" s="1"/>
  <c r="J87" i="6"/>
  <c r="K25" i="9"/>
  <c r="D201" i="47"/>
  <c r="F58" i="29"/>
  <c r="G5" i="29" s="1"/>
  <c r="G58" i="29" s="1"/>
  <c r="F38" i="29"/>
  <c r="F30" i="32" s="1"/>
  <c r="F38" i="10"/>
  <c r="D55" i="10"/>
  <c r="G124" i="47"/>
  <c r="G177" i="47" s="1"/>
  <c r="H124" i="47" s="1"/>
  <c r="H177" i="47" s="1"/>
  <c r="J40" i="31"/>
  <c r="M105" i="41"/>
  <c r="C106" i="41"/>
  <c r="M106" i="41" s="1"/>
  <c r="K23" i="31"/>
  <c r="K76" i="6"/>
  <c r="F67" i="6"/>
  <c r="M35" i="28"/>
  <c r="L25" i="31"/>
  <c r="G5" i="9"/>
  <c r="G7" i="31"/>
  <c r="G5" i="31" s="1"/>
  <c r="F17" i="17"/>
  <c r="F5" i="16"/>
  <c r="F19" i="9"/>
  <c r="G5" i="10"/>
  <c r="I127" i="14"/>
  <c r="H11" i="14"/>
  <c r="K69" i="6" l="1"/>
  <c r="F12" i="9"/>
  <c r="F21" i="9" s="1"/>
  <c r="F66" i="6" s="1"/>
  <c r="M35" i="11"/>
  <c r="M86" i="6" s="1"/>
  <c r="L25" i="9"/>
  <c r="L23" i="9" s="1"/>
  <c r="K23" i="9"/>
  <c r="K40" i="9" s="1"/>
  <c r="K87" i="6"/>
  <c r="F19" i="31"/>
  <c r="F12" i="31" s="1"/>
  <c r="F21" i="31" s="1"/>
  <c r="F73" i="6" s="1"/>
  <c r="F31" i="12"/>
  <c r="D31" i="12" s="1"/>
  <c r="D32" i="12" s="1"/>
  <c r="F202" i="47"/>
  <c r="G77" i="47"/>
  <c r="I124" i="47"/>
  <c r="I177" i="47" s="1"/>
  <c r="H77" i="47"/>
  <c r="D81" i="47"/>
  <c r="D82" i="47" s="1"/>
  <c r="F82" i="47"/>
  <c r="D11" i="47" s="1"/>
  <c r="K40" i="31"/>
  <c r="L23" i="31"/>
  <c r="L76" i="6"/>
  <c r="F68" i="6"/>
  <c r="D30" i="32"/>
  <c r="D31" i="32" s="1"/>
  <c r="F31" i="32"/>
  <c r="N35" i="28"/>
  <c r="M25" i="31"/>
  <c r="H5" i="29"/>
  <c r="H58" i="29" s="1"/>
  <c r="G19" i="31"/>
  <c r="G75" i="6" s="1"/>
  <c r="H5" i="9"/>
  <c r="H7" i="31"/>
  <c r="H5" i="31" s="1"/>
  <c r="D58" i="29"/>
  <c r="J127" i="14"/>
  <c r="I11" i="14"/>
  <c r="G58" i="10"/>
  <c r="F42" i="9" l="1"/>
  <c r="L87" i="6"/>
  <c r="L69" i="6"/>
  <c r="M25" i="9"/>
  <c r="M23" i="9" s="1"/>
  <c r="N35" i="11"/>
  <c r="N86" i="6" s="1"/>
  <c r="F32" i="12"/>
  <c r="D6" i="12" s="1"/>
  <c r="F75" i="6"/>
  <c r="F64" i="6" s="1"/>
  <c r="F42" i="31"/>
  <c r="D202" i="47"/>
  <c r="D203" i="47" s="1"/>
  <c r="F203" i="47"/>
  <c r="I11" i="47"/>
  <c r="I13" i="47" s="1"/>
  <c r="H11" i="47"/>
  <c r="H13" i="47" s="1"/>
  <c r="K11" i="47"/>
  <c r="K13" i="47" s="1"/>
  <c r="O11" i="47"/>
  <c r="O13" i="47" s="1"/>
  <c r="N11" i="47"/>
  <c r="N13" i="47" s="1"/>
  <c r="M11" i="47"/>
  <c r="M13" i="47" s="1"/>
  <c r="L11" i="47"/>
  <c r="L13" i="47" s="1"/>
  <c r="J11" i="47"/>
  <c r="J13" i="47" s="1"/>
  <c r="F11" i="47"/>
  <c r="F13" i="47" s="1"/>
  <c r="G11" i="47"/>
  <c r="G13" i="47" s="1"/>
  <c r="I77" i="47"/>
  <c r="J124" i="47"/>
  <c r="J177" i="47" s="1"/>
  <c r="D14" i="47"/>
  <c r="E17" i="41"/>
  <c r="F83" i="47"/>
  <c r="L40" i="31"/>
  <c r="M23" i="31"/>
  <c r="M76" i="6"/>
  <c r="G67" i="6"/>
  <c r="G12" i="31"/>
  <c r="G21" i="31" s="1"/>
  <c r="G73" i="6" s="1"/>
  <c r="H6" i="32"/>
  <c r="H8" i="32" s="1"/>
  <c r="G6" i="32"/>
  <c r="G8" i="32" s="1"/>
  <c r="F6" i="32"/>
  <c r="F8" i="32" s="1"/>
  <c r="D9" i="32"/>
  <c r="F32" i="32"/>
  <c r="D6" i="32"/>
  <c r="O6" i="32"/>
  <c r="O8" i="32" s="1"/>
  <c r="N6" i="32"/>
  <c r="N8" i="32" s="1"/>
  <c r="M6" i="32"/>
  <c r="M8" i="32" s="1"/>
  <c r="L6" i="32"/>
  <c r="L8" i="32" s="1"/>
  <c r="K6" i="32"/>
  <c r="K8" i="32" s="1"/>
  <c r="I6" i="32"/>
  <c r="I8" i="32" s="1"/>
  <c r="J6" i="32"/>
  <c r="J8" i="32" s="1"/>
  <c r="O35" i="28"/>
  <c r="N25" i="31"/>
  <c r="I5" i="29"/>
  <c r="I58" i="29" s="1"/>
  <c r="H19" i="31"/>
  <c r="H75" i="6" s="1"/>
  <c r="I5" i="9"/>
  <c r="I7" i="31"/>
  <c r="I5" i="31" s="1"/>
  <c r="L40" i="9"/>
  <c r="G17" i="17"/>
  <c r="G5" i="16"/>
  <c r="H5" i="10"/>
  <c r="G19" i="9"/>
  <c r="K127" i="14"/>
  <c r="J11" i="14"/>
  <c r="D125" i="1" l="1"/>
  <c r="D71" i="1"/>
  <c r="C125" i="1"/>
  <c r="C71" i="1"/>
  <c r="C124" i="1"/>
  <c r="C70" i="1"/>
  <c r="D10" i="32"/>
  <c r="N25" i="9"/>
  <c r="N23" i="9" s="1"/>
  <c r="O35" i="11"/>
  <c r="O86" i="6" s="1"/>
  <c r="G12" i="9"/>
  <c r="G21" i="9" s="1"/>
  <c r="G42" i="9" s="1"/>
  <c r="M87" i="6"/>
  <c r="M69" i="6"/>
  <c r="H6" i="12"/>
  <c r="H8" i="12" s="1"/>
  <c r="F33" i="12"/>
  <c r="G33" i="12" s="1"/>
  <c r="G7" i="12" s="1"/>
  <c r="G6" i="12"/>
  <c r="G8" i="12" s="1"/>
  <c r="M6" i="12"/>
  <c r="M8" i="12" s="1"/>
  <c r="N6" i="12"/>
  <c r="N8" i="12" s="1"/>
  <c r="K6" i="12"/>
  <c r="K8" i="12" s="1"/>
  <c r="J6" i="12"/>
  <c r="J8" i="12" s="1"/>
  <c r="F6" i="12"/>
  <c r="F8" i="12" s="1"/>
  <c r="D9" i="12"/>
  <c r="L6" i="12"/>
  <c r="L8" i="12" s="1"/>
  <c r="O6" i="12"/>
  <c r="O8" i="12" s="1"/>
  <c r="I6" i="12"/>
  <c r="I8" i="12" s="1"/>
  <c r="D10" i="12"/>
  <c r="Q11" i="47"/>
  <c r="Q12" i="47" s="1"/>
  <c r="C17" i="41"/>
  <c r="H35" i="47"/>
  <c r="E18" i="41"/>
  <c r="D18" i="41"/>
  <c r="H26" i="47"/>
  <c r="J77" i="47"/>
  <c r="K124" i="47"/>
  <c r="K177" i="47" s="1"/>
  <c r="D15" i="47"/>
  <c r="E21" i="41" s="1"/>
  <c r="D13" i="47"/>
  <c r="E20" i="41" s="1"/>
  <c r="F12" i="47"/>
  <c r="G83" i="47"/>
  <c r="M40" i="31"/>
  <c r="N23" i="31"/>
  <c r="N76" i="6"/>
  <c r="D17" i="41"/>
  <c r="F1" i="6"/>
  <c r="G68" i="6"/>
  <c r="G42" i="31"/>
  <c r="G32" i="32"/>
  <c r="F7" i="32"/>
  <c r="D8" i="32"/>
  <c r="O25" i="31"/>
  <c r="J5" i="29"/>
  <c r="J58" i="29" s="1"/>
  <c r="I19" i="31"/>
  <c r="I75" i="6" s="1"/>
  <c r="J5" i="9"/>
  <c r="J7" i="31"/>
  <c r="J5" i="31" s="1"/>
  <c r="M40" i="9"/>
  <c r="L127" i="14"/>
  <c r="K11" i="14"/>
  <c r="H58" i="10"/>
  <c r="D76" i="1" l="1"/>
  <c r="D70" i="1"/>
  <c r="C73" i="1"/>
  <c r="C128" i="1"/>
  <c r="C76" i="1"/>
  <c r="C127" i="1"/>
  <c r="O25" i="9"/>
  <c r="O69" i="6" s="1"/>
  <c r="C18" i="41"/>
  <c r="D124" i="1"/>
  <c r="D21" i="41"/>
  <c r="C21" i="41"/>
  <c r="D128" i="1"/>
  <c r="D20" i="41"/>
  <c r="N87" i="6"/>
  <c r="N69" i="6"/>
  <c r="G66" i="6"/>
  <c r="G64" i="6" s="1"/>
  <c r="G1" i="6" s="1"/>
  <c r="H33" i="12"/>
  <c r="H7" i="12" s="1"/>
  <c r="F7" i="12"/>
  <c r="D8" i="12"/>
  <c r="L124" i="47"/>
  <c r="L177" i="47" s="1"/>
  <c r="K77" i="47"/>
  <c r="G12" i="47"/>
  <c r="H83" i="47"/>
  <c r="N40" i="31"/>
  <c r="O23" i="31"/>
  <c r="O76" i="6"/>
  <c r="H12" i="31"/>
  <c r="H21" i="31" s="1"/>
  <c r="H67" i="6"/>
  <c r="H32" i="32"/>
  <c r="G7" i="32"/>
  <c r="K5" i="29"/>
  <c r="K58" i="29" s="1"/>
  <c r="J19" i="31"/>
  <c r="J75" i="6" s="1"/>
  <c r="K5" i="9"/>
  <c r="K7" i="31"/>
  <c r="K5" i="31" s="1"/>
  <c r="N40" i="9"/>
  <c r="H17" i="17"/>
  <c r="H5" i="16"/>
  <c r="H19" i="9"/>
  <c r="I5" i="10"/>
  <c r="L11" i="14"/>
  <c r="M127" i="14"/>
  <c r="O23" i="9" l="1"/>
  <c r="O40" i="9" s="1"/>
  <c r="O87" i="6"/>
  <c r="D127" i="1"/>
  <c r="D73" i="1"/>
  <c r="C20" i="41"/>
  <c r="I33" i="12"/>
  <c r="J33" i="12" s="1"/>
  <c r="J7" i="12" s="1"/>
  <c r="H12" i="9"/>
  <c r="H21" i="9" s="1"/>
  <c r="H66" i="6" s="1"/>
  <c r="L77" i="47"/>
  <c r="M124" i="47"/>
  <c r="M177" i="47" s="1"/>
  <c r="I83" i="47"/>
  <c r="H12" i="47"/>
  <c r="O40" i="31"/>
  <c r="H42" i="31"/>
  <c r="H73" i="6"/>
  <c r="H68" i="6"/>
  <c r="I32" i="32"/>
  <c r="H7" i="32"/>
  <c r="L5" i="29"/>
  <c r="L58" i="29" s="1"/>
  <c r="K19" i="31"/>
  <c r="K75" i="6" s="1"/>
  <c r="L5" i="9"/>
  <c r="L7" i="31"/>
  <c r="L5" i="31" s="1"/>
  <c r="N127" i="14"/>
  <c r="M11" i="14"/>
  <c r="I58" i="10"/>
  <c r="I7" i="12" l="1"/>
  <c r="K33" i="12"/>
  <c r="L33" i="12" s="1"/>
  <c r="H42" i="9"/>
  <c r="H64" i="6"/>
  <c r="H1" i="6" s="1"/>
  <c r="M77" i="47"/>
  <c r="N124" i="47"/>
  <c r="N177" i="47" s="1"/>
  <c r="J83" i="47"/>
  <c r="I12" i="47"/>
  <c r="I12" i="31"/>
  <c r="I21" i="31" s="1"/>
  <c r="I67" i="6"/>
  <c r="I7" i="32"/>
  <c r="J32" i="32"/>
  <c r="M5" i="29"/>
  <c r="M58" i="29" s="1"/>
  <c r="L19" i="31"/>
  <c r="L75" i="6" s="1"/>
  <c r="M5" i="9"/>
  <c r="M7" i="31"/>
  <c r="M5" i="31" s="1"/>
  <c r="I17" i="17"/>
  <c r="I5" i="16"/>
  <c r="I19" i="9"/>
  <c r="J5" i="10"/>
  <c r="O127" i="14"/>
  <c r="N11" i="14"/>
  <c r="K7" i="12" l="1"/>
  <c r="I12" i="9"/>
  <c r="I21" i="9" s="1"/>
  <c r="I66" i="6" s="1"/>
  <c r="N77" i="47"/>
  <c r="O124" i="47"/>
  <c r="O177" i="47" s="1"/>
  <c r="O77" i="47" s="1"/>
  <c r="K83" i="47"/>
  <c r="J12" i="47"/>
  <c r="I73" i="6"/>
  <c r="I42" i="31"/>
  <c r="I68" i="6"/>
  <c r="J7" i="32"/>
  <c r="K32" i="32"/>
  <c r="N5" i="29"/>
  <c r="N58" i="29" s="1"/>
  <c r="M19" i="31"/>
  <c r="M75" i="6" s="1"/>
  <c r="N5" i="9"/>
  <c r="N7" i="31"/>
  <c r="N5" i="31" s="1"/>
  <c r="J58" i="10"/>
  <c r="O11" i="14"/>
  <c r="L7" i="12"/>
  <c r="M33" i="12"/>
  <c r="I42" i="9" l="1"/>
  <c r="I64" i="6"/>
  <c r="I1" i="6" s="1"/>
  <c r="L83" i="47"/>
  <c r="K12" i="47"/>
  <c r="J12" i="31"/>
  <c r="J21" i="31" s="1"/>
  <c r="J67" i="6"/>
  <c r="L32" i="32"/>
  <c r="K7" i="32"/>
  <c r="O5" i="29"/>
  <c r="O58" i="29" s="1"/>
  <c r="N19" i="31"/>
  <c r="N75" i="6" s="1"/>
  <c r="O5" i="9"/>
  <c r="O7" i="31"/>
  <c r="O5" i="31" s="1"/>
  <c r="J17" i="17"/>
  <c r="J5" i="16"/>
  <c r="N33" i="12"/>
  <c r="M7" i="12"/>
  <c r="K5" i="10"/>
  <c r="J19" i="9"/>
  <c r="J12" i="9" l="1"/>
  <c r="J21" i="9" s="1"/>
  <c r="J42" i="9" s="1"/>
  <c r="M83" i="47"/>
  <c r="L12" i="47"/>
  <c r="J42" i="31"/>
  <c r="J73" i="6"/>
  <c r="J68" i="6"/>
  <c r="M32" i="32"/>
  <c r="L7" i="32"/>
  <c r="O19" i="31"/>
  <c r="O75" i="6" s="1"/>
  <c r="K58" i="10"/>
  <c r="O33" i="12"/>
  <c r="N7" i="12"/>
  <c r="J66" i="6" l="1"/>
  <c r="J64" i="6" s="1"/>
  <c r="J1" i="6" s="1"/>
  <c r="N83" i="47"/>
  <c r="M12" i="47"/>
  <c r="K12" i="31"/>
  <c r="K21" i="31" s="1"/>
  <c r="K67" i="6"/>
  <c r="N32" i="32"/>
  <c r="M7" i="32"/>
  <c r="K17" i="17"/>
  <c r="K5" i="16"/>
  <c r="L5" i="10"/>
  <c r="L58" i="10" s="1"/>
  <c r="K19" i="9"/>
  <c r="O7" i="12"/>
  <c r="K12" i="9" l="1"/>
  <c r="K21" i="9" s="1"/>
  <c r="K42" i="9" s="1"/>
  <c r="O83" i="47"/>
  <c r="O12" i="47" s="1"/>
  <c r="N12" i="47"/>
  <c r="K42" i="31"/>
  <c r="K73" i="6"/>
  <c r="K68" i="6"/>
  <c r="L12" i="31"/>
  <c r="L21" i="31" s="1"/>
  <c r="L67" i="6"/>
  <c r="O32" i="32"/>
  <c r="N7" i="32"/>
  <c r="D7" i="12"/>
  <c r="L17" i="17"/>
  <c r="L5" i="16"/>
  <c r="M5" i="10"/>
  <c r="M58" i="10" s="1"/>
  <c r="L19" i="9"/>
  <c r="D126" i="1" l="1"/>
  <c r="D72" i="1"/>
  <c r="K66" i="6"/>
  <c r="K64" i="6" s="1"/>
  <c r="K1" i="6" s="1"/>
  <c r="L12" i="9"/>
  <c r="L21" i="9" s="1"/>
  <c r="L42" i="9" s="1"/>
  <c r="C19" i="41"/>
  <c r="D12" i="47"/>
  <c r="E19" i="41" s="1"/>
  <c r="L42" i="31"/>
  <c r="L73" i="6"/>
  <c r="L68" i="6"/>
  <c r="M12" i="31"/>
  <c r="M21" i="31" s="1"/>
  <c r="M67" i="6"/>
  <c r="O7" i="32"/>
  <c r="M17" i="17"/>
  <c r="M5" i="16"/>
  <c r="M19" i="9"/>
  <c r="N5" i="10"/>
  <c r="N58" i="10" s="1"/>
  <c r="L66" i="6" l="1"/>
  <c r="L64" i="6" s="1"/>
  <c r="L1" i="6" s="1"/>
  <c r="M12" i="9"/>
  <c r="M21" i="9" s="1"/>
  <c r="M66" i="6" s="1"/>
  <c r="M42" i="31"/>
  <c r="M73" i="6"/>
  <c r="M68" i="6"/>
  <c r="N12" i="31"/>
  <c r="N21" i="31" s="1"/>
  <c r="N67" i="6"/>
  <c r="D7" i="32"/>
  <c r="N17" i="17"/>
  <c r="N5" i="16"/>
  <c r="N19" i="9"/>
  <c r="O5" i="10"/>
  <c r="O58" i="10" s="1"/>
  <c r="C72" i="1" l="1"/>
  <c r="C126" i="1"/>
  <c r="D19" i="41"/>
  <c r="M42" i="9"/>
  <c r="N12" i="9"/>
  <c r="N21" i="9" s="1"/>
  <c r="N66" i="6" s="1"/>
  <c r="M64" i="6"/>
  <c r="M1" i="6" s="1"/>
  <c r="N42" i="31"/>
  <c r="N73" i="6"/>
  <c r="N68" i="6"/>
  <c r="O12" i="31"/>
  <c r="O21" i="31" s="1"/>
  <c r="O67" i="6"/>
  <c r="O17" i="17"/>
  <c r="O5" i="16"/>
  <c r="O19" i="9"/>
  <c r="N42" i="9" l="1"/>
  <c r="O12" i="9"/>
  <c r="O21" i="9" s="1"/>
  <c r="O66" i="6" s="1"/>
  <c r="N64" i="6"/>
  <c r="N1" i="6" s="1"/>
  <c r="O73" i="6"/>
  <c r="O68" i="6"/>
  <c r="O42" i="31"/>
  <c r="D58" i="10"/>
  <c r="O42" i="9" l="1"/>
  <c r="O64" i="6"/>
  <c r="Q1" i="6" s="1"/>
  <c r="B2" i="51" s="1"/>
  <c r="I1" i="48" l="1"/>
  <c r="I1" i="47"/>
  <c r="C3" i="37"/>
  <c r="I1" i="42"/>
  <c r="O1" i="6"/>
  <c r="I1" i="13"/>
  <c r="H1" i="14"/>
  <c r="I1" i="7"/>
  <c r="I1" i="16"/>
  <c r="I1" i="17"/>
  <c r="I1" i="18"/>
  <c r="I1" i="21"/>
  <c r="I1" i="19"/>
  <c r="I1" i="23"/>
  <c r="I1" i="20"/>
  <c r="M1" i="11"/>
  <c r="I1" i="24"/>
  <c r="M1" i="9"/>
  <c r="M1" i="10"/>
  <c r="I1" i="25"/>
  <c r="I1" i="26"/>
  <c r="I1" i="15"/>
  <c r="I1" i="36"/>
  <c r="I1" i="29"/>
  <c r="I1" i="28"/>
  <c r="I1" i="12"/>
  <c r="I1" i="31"/>
  <c r="I1" i="32"/>
  <c r="C2" i="2"/>
  <c r="I1" i="22"/>
  <c r="I1" i="5"/>
  <c r="N1" i="27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<sst xmlns="http://schemas.openxmlformats.org/spreadsheetml/2006/main" count="2704" uniqueCount="1096">
  <si>
    <t>Оглавление</t>
  </si>
  <si>
    <t>Легенда</t>
  </si>
  <si>
    <t>№</t>
  </si>
  <si>
    <t>Название</t>
  </si>
  <si>
    <t>Вид</t>
  </si>
  <si>
    <t>ячека ввода даты</t>
  </si>
  <si>
    <t>расчетные ячейки (не рекомендуется изменять)</t>
  </si>
  <si>
    <t>Итоговые расчетные ячейки (не рекомендуется изменять)</t>
  </si>
  <si>
    <t>Годы в шапке таблиц</t>
  </si>
  <si>
    <t>Ячейки контрольных значений (не рекомендуется изменять)</t>
  </si>
  <si>
    <t>или: Ячейки контрольных значений (не рекомендуется изменять)</t>
  </si>
  <si>
    <t>&lt;Заголовок листа&gt;</t>
  </si>
  <si>
    <t>Ед.изм.</t>
  </si>
  <si>
    <t>Пример листа для дублирования и создания рабочих листов</t>
  </si>
  <si>
    <t>https://cbr.ru/statistics/ddkp/</t>
  </si>
  <si>
    <t>МинЭк РФ № 626 16.11.2022</t>
  </si>
  <si>
    <t>Пример ячейки с сылкой на источники информации</t>
  </si>
  <si>
    <t>или Пример ячейки с сылкой на норм. документ</t>
  </si>
  <si>
    <t>Шапка таблицы</t>
  </si>
  <si>
    <t>тыс.руб.</t>
  </si>
  <si>
    <t>&lt;..&gt;</t>
  </si>
  <si>
    <t>Приложения</t>
  </si>
  <si>
    <t>Перечень документов: сметы договора, калькуляции, спецификации, разрешительная документация, аналитические исследования и т.д.</t>
  </si>
  <si>
    <t>Контроль</t>
  </si>
  <si>
    <t>Балансовое равенство</t>
  </si>
  <si>
    <t>Соотв. Измен. УК и добавочн. Капитала в Балансе и поступлений от выпуска акций или увелич. Долей участия или за счет вкладов участников</t>
  </si>
  <si>
    <t>Требования к ячекам и диапазонам листов excel-файла</t>
  </si>
  <si>
    <t>%</t>
  </si>
  <si>
    <t>Источник информации</t>
  </si>
  <si>
    <t>Описание</t>
  </si>
  <si>
    <t>Внеоборотные активы</t>
  </si>
  <si>
    <t>Нематериальные активы</t>
  </si>
  <si>
    <t>Основные средства</t>
  </si>
  <si>
    <t>Незавершенное строительство</t>
  </si>
  <si>
    <t>Долгосрочные финансовые вложения</t>
  </si>
  <si>
    <t>Отложенные налоговые активы</t>
  </si>
  <si>
    <t>Прочие внеоборотные активы</t>
  </si>
  <si>
    <t>Оборотные активы</t>
  </si>
  <si>
    <t>Запасы</t>
  </si>
  <si>
    <t>Незавершенное производство</t>
  </si>
  <si>
    <t>Инвестиционные авансы</t>
  </si>
  <si>
    <t>НДС к возмещению из бюджета</t>
  </si>
  <si>
    <t>Краткосрочные финансовые вложения</t>
  </si>
  <si>
    <t>Денежные средства и их эквиваленты</t>
  </si>
  <si>
    <t>Прочие оборотные активы</t>
  </si>
  <si>
    <t>ИТОГО АКТИВЫ</t>
  </si>
  <si>
    <t>Капитал</t>
  </si>
  <si>
    <t>Нераспределенная прибыль</t>
  </si>
  <si>
    <t>Долгосрочные обязательства</t>
  </si>
  <si>
    <t>Долгосрочные кредиты и займы</t>
  </si>
  <si>
    <t>Отложенные налоговые обязательства</t>
  </si>
  <si>
    <t>Прочие долгосрочные обязательства</t>
  </si>
  <si>
    <t>Краткосрочные обязательства</t>
  </si>
  <si>
    <t>Краткосрочные кредиты и займы</t>
  </si>
  <si>
    <t>Задолженность по процентам</t>
  </si>
  <si>
    <t>Задолженность участникам по выплате дивидендов</t>
  </si>
  <si>
    <t>Текущая задолженность перед поставщиками и подрядчиками</t>
  </si>
  <si>
    <t>Инвестиционная кредиторская задолженность</t>
  </si>
  <si>
    <t>НДС к уплате в бюджет</t>
  </si>
  <si>
    <t>Прочие краткосрочные обязательства</t>
  </si>
  <si>
    <t>ИТОГО КАПИТАЛ И ОБЯЗАТЕЛЬСТВА</t>
  </si>
  <si>
    <t>контроль</t>
  </si>
  <si>
    <t>I</t>
  </si>
  <si>
    <t>II</t>
  </si>
  <si>
    <t>III</t>
  </si>
  <si>
    <t>IV</t>
  </si>
  <si>
    <t>V</t>
  </si>
  <si>
    <t>Поступления от продаж &lt;..&gt;</t>
  </si>
  <si>
    <t>Уплата НДФЛ</t>
  </si>
  <si>
    <t>Операционная деятельность</t>
  </si>
  <si>
    <t>Чистый денежный поток по опер. деят-ти</t>
  </si>
  <si>
    <t>Инвестиционная деятельность</t>
  </si>
  <si>
    <t>Приток</t>
  </si>
  <si>
    <t>Отток</t>
  </si>
  <si>
    <t>Уплата НДС по опер.деят-ти</t>
  </si>
  <si>
    <t>Продажа ОС</t>
  </si>
  <si>
    <t>Чистый денежный поток по инвест. деят-ти</t>
  </si>
  <si>
    <t>Возмещение НДС по инвест.деят-ти</t>
  </si>
  <si>
    <t>Финансовая деятельность</t>
  </si>
  <si>
    <t>Чистый денежный поток по фин. деят-ти</t>
  </si>
  <si>
    <t>Бюджетное финансирование</t>
  </si>
  <si>
    <t>Целевое финансирование</t>
  </si>
  <si>
    <t>Выплата дивидендов</t>
  </si>
  <si>
    <t>Итого движение денежных средств</t>
  </si>
  <si>
    <t>Остаток ден. средств на конец периода</t>
  </si>
  <si>
    <t>Остаток ден. средств на начало периода</t>
  </si>
  <si>
    <t>Налоги к уплате</t>
  </si>
  <si>
    <t>Валовая прибыль</t>
  </si>
  <si>
    <t>рент-ть по валовой прибыли</t>
  </si>
  <si>
    <t>Прибыль/убыток от продаж</t>
  </si>
  <si>
    <t>рент-ть по прибыли от продаж</t>
  </si>
  <si>
    <t>Прочие доходы</t>
  </si>
  <si>
    <t>Прочие расходы</t>
  </si>
  <si>
    <t>Проценты к получению</t>
  </si>
  <si>
    <t>Проценты к уплате</t>
  </si>
  <si>
    <t>Прибыль/(убыток) до налогообложения</t>
  </si>
  <si>
    <t>рент-ть по прибыли до налогообл.</t>
  </si>
  <si>
    <t>Налог на прибыль</t>
  </si>
  <si>
    <t>рент-ть по чистой прибыли</t>
  </si>
  <si>
    <t>Общепроизводственные расходы</t>
  </si>
  <si>
    <t>Чистая прибыль/убыток</t>
  </si>
  <si>
    <t>Амортизация</t>
  </si>
  <si>
    <t>EBITDA</t>
  </si>
  <si>
    <t>рент-ть по EBITDA</t>
  </si>
  <si>
    <t>Себестоимость продаж всего, в т.ч.:</t>
  </si>
  <si>
    <t>Инфляция в зоне USD</t>
  </si>
  <si>
    <t>Спарклайн</t>
  </si>
  <si>
    <t>Montserrat</t>
  </si>
  <si>
    <t>Шрифт</t>
  </si>
  <si>
    <t>Заголовок</t>
  </si>
  <si>
    <t>Подзаголовок</t>
  </si>
  <si>
    <t>Текст</t>
  </si>
  <si>
    <t>16-18</t>
  </si>
  <si>
    <t>тыс.руб. за ед.</t>
  </si>
  <si>
    <t>Количество продукта 1</t>
  </si>
  <si>
    <t>ед.</t>
  </si>
  <si>
    <t>коэф-т</t>
  </si>
  <si>
    <t>ячейка ввода числовых значений без десятичного знака количество</t>
  </si>
  <si>
    <t>ячейка ввода числовых значений без десятичного знака тыс.руб.</t>
  </si>
  <si>
    <t>ячейка ввода коэфф-тов</t>
  </si>
  <si>
    <t>к-т</t>
  </si>
  <si>
    <t>Количество продукта 2</t>
  </si>
  <si>
    <t>Количество продукта 3</t>
  </si>
  <si>
    <t>темп увеличения продаж  количества продукта 3 год к году</t>
  </si>
  <si>
    <t>темп увеличения продаж  количества продукта 2 год к году</t>
  </si>
  <si>
    <t>темп увеличения продаж  количества продукта 1 год к году</t>
  </si>
  <si>
    <t>ячека ввода числовых значений с двумя десятичными знаками тыс.руб.</t>
  </si>
  <si>
    <t>Общий тариф соц.взносов</t>
  </si>
  <si>
    <t>Пониженный тариф соц.взносов 15%</t>
  </si>
  <si>
    <t>Тариф сверх лимита базы (2225 тыс.руб.) соц.взносов</t>
  </si>
  <si>
    <t>Срок полезного использования</t>
  </si>
  <si>
    <t>лет</t>
  </si>
  <si>
    <t>НДС за период</t>
  </si>
  <si>
    <t>Объект 2</t>
  </si>
  <si>
    <t>-</t>
  </si>
  <si>
    <t>Объект 3</t>
  </si>
  <si>
    <t>для контроля полож. ост.ст-ти ОС</t>
  </si>
  <si>
    <t>Вспомогательные ячейки для облегчения понимания логики формул</t>
  </si>
  <si>
    <t>чел.</t>
  </si>
  <si>
    <t>Численность основной производственный персонал</t>
  </si>
  <si>
    <t>Всего численность</t>
  </si>
  <si>
    <t>Продажная цена продукта 1 без НДС с учетом индекс.</t>
  </si>
  <si>
    <t>Продажная цена продукта 2 без НДС с учетом индекс.</t>
  </si>
  <si>
    <t>Инфляция в России (год к году)</t>
  </si>
  <si>
    <t>Ключевая ставка ЦБ</t>
  </si>
  <si>
    <t>Одного специалиста адм-управл. Персонала с учетом индек.</t>
  </si>
  <si>
    <t>Одного специалиста основного производ. Персонала с учетом индекс.</t>
  </si>
  <si>
    <t>Сред.мес.зарплата:</t>
  </si>
  <si>
    <t>Основной производственный персонал</t>
  </si>
  <si>
    <t>Численность  адм.-управленч. персонал</t>
  </si>
  <si>
    <t>Адм.-управленч. персонал</t>
  </si>
  <si>
    <t>Оплата труда всего, в т.ч.:</t>
  </si>
  <si>
    <t>Соц.взносы по общему тарифу всего, в т.ч.:</t>
  </si>
  <si>
    <t>Административные расходы всего, в т.ч.:</t>
  </si>
  <si>
    <t xml:space="preserve">Прочие административные расходы </t>
  </si>
  <si>
    <t>Оплата труда адм.-управл. персонала с соц.взносами</t>
  </si>
  <si>
    <t>НДФЛ с зарплаты к уплате в бюджет</t>
  </si>
  <si>
    <t>Соц.взносы</t>
  </si>
  <si>
    <t>Оплата труда без НДФЛ</t>
  </si>
  <si>
    <t>Начисл. и выплаченная зар.плата с соц налогами</t>
  </si>
  <si>
    <t>Собственный капитал</t>
  </si>
  <si>
    <t>Сумма кредита/займа на нач. периода</t>
  </si>
  <si>
    <t>Привлечение кредита/займа</t>
  </si>
  <si>
    <t>Погашение кредита/займа</t>
  </si>
  <si>
    <t>Сумма кредита/займа на кон. периода</t>
  </si>
  <si>
    <t>Начисление %</t>
  </si>
  <si>
    <t>Оплата %</t>
  </si>
  <si>
    <t>Кредитор: Банк 1</t>
  </si>
  <si>
    <t>ост.дс по БДДС на конец года.</t>
  </si>
  <si>
    <t>Кредитор: Банк 2</t>
  </si>
  <si>
    <t>Итого по всем кредитам и займам</t>
  </si>
  <si>
    <t>НДС нараст.итогом</t>
  </si>
  <si>
    <t>НДС от продаж</t>
  </si>
  <si>
    <t>Чистая прибыль/убыток нарастающим итогом для отражения в Балансе</t>
  </si>
  <si>
    <t>Показатели эффективности проекта</t>
  </si>
  <si>
    <t>Итого чист. ден. поток по опер. и  инвест. деят-ти</t>
  </si>
  <si>
    <t>дата для расчетов формулами Excel</t>
  </si>
  <si>
    <t>Ставка дисконтирования</t>
  </si>
  <si>
    <t>`=ЧИСТНЗ()</t>
  </si>
  <si>
    <t>Ден.поток нарастающим итогом</t>
  </si>
  <si>
    <t>`=ЧИСТВНДОХ()</t>
  </si>
  <si>
    <t>далее</t>
  </si>
  <si>
    <t>руб. за евро</t>
  </si>
  <si>
    <t>руб. за долл.</t>
  </si>
  <si>
    <t>1 Долл</t>
  </si>
  <si>
    <t>1 Евро</t>
  </si>
  <si>
    <t>руб. за куб.м.</t>
  </si>
  <si>
    <t>Теплоснабжение</t>
  </si>
  <si>
    <t>Газ</t>
  </si>
  <si>
    <t>Платежи за период с НДС</t>
  </si>
  <si>
    <t>Остаточная стоимость ОС</t>
  </si>
  <si>
    <t>Все объекты капитальных вложений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</si>
  <si>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</si>
  <si>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</si>
  <si>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</si>
  <si>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</si>
  <si>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</si>
  <si>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</si>
  <si>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</si>
  <si>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</si>
  <si>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</si>
  <si>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Развернуть объекты капитальных вложений</t>
  </si>
  <si>
    <t>Источник информации.
Примечания</t>
  </si>
  <si>
    <t>Инвестиционная стадия</t>
  </si>
  <si>
    <t>Операционная стадия</t>
  </si>
  <si>
    <t>Проектирование</t>
  </si>
  <si>
    <t>Строительство</t>
  </si>
  <si>
    <t>Приобретение оборудования</t>
  </si>
  <si>
    <t>Запуск производства</t>
  </si>
  <si>
    <t>Подписания акта ввода в эксплуатацию</t>
  </si>
  <si>
    <t>Продукт / Услуга 1</t>
  </si>
  <si>
    <t>Продукт / Услуга 2</t>
  </si>
  <si>
    <t>Продукт / Услуга 3</t>
  </si>
  <si>
    <t>Продукт / Услуга 4</t>
  </si>
  <si>
    <t>Продукт / Услуга 5</t>
  </si>
  <si>
    <t>Шаблон  на 5 продуктов или услуг. СУММЕСЛИ.  До строки 165 до 195</t>
  </si>
  <si>
    <t>капитальные вложения</t>
  </si>
  <si>
    <t>Платежи с НДС по приобретению / строительству объектов кап.вложений:</t>
  </si>
  <si>
    <t>&lt;Объект 1&gt;</t>
  </si>
  <si>
    <t>&lt;Объект 2&gt;</t>
  </si>
  <si>
    <t>&lt;Объект 3&gt;</t>
  </si>
  <si>
    <t>&lt;Объект 4&gt;</t>
  </si>
  <si>
    <t>&lt;Объект 5&gt;</t>
  </si>
  <si>
    <t>&lt;Объект 6&gt;</t>
  </si>
  <si>
    <t>&lt;Объект 7&gt;</t>
  </si>
  <si>
    <t>&lt;Объект 8&gt;</t>
  </si>
  <si>
    <t>&lt;Объект 9&gt;</t>
  </si>
  <si>
    <t>&lt;Объект 10&gt;</t>
  </si>
  <si>
    <t>&lt;Объект 11&gt;</t>
  </si>
  <si>
    <t>&lt;Объект 12&gt;</t>
  </si>
  <si>
    <t>Цвет</t>
  </si>
  <si>
    <t>Ссылка на лист</t>
  </si>
  <si>
    <t>2.3.2 Кредиты и займы</t>
  </si>
  <si>
    <t>Кредитор: Банк 3</t>
  </si>
  <si>
    <t>Кредитор: Банк 4</t>
  </si>
  <si>
    <t>ячека ввода процентов</t>
  </si>
  <si>
    <t>Оплата процентов по кредитам и займам</t>
  </si>
  <si>
    <t>Кредиты и займы полученные</t>
  </si>
  <si>
    <t xml:space="preserve">Дебиторская задолженность </t>
  </si>
  <si>
    <t xml:space="preserve">Акционерный капитал </t>
  </si>
  <si>
    <t>Участник 1</t>
  </si>
  <si>
    <t>Участник 2</t>
  </si>
  <si>
    <t>Участник 3</t>
  </si>
  <si>
    <t>Взносы в Уставный (складочный) капитал нараст.итогом</t>
  </si>
  <si>
    <t>Расчет себестоимости сырья для производства</t>
  </si>
  <si>
    <t>Сырье 1</t>
  </si>
  <si>
    <t>Стоимость ед. сырья 1 с учетом индексации без НДС</t>
  </si>
  <si>
    <t>Справочно:</t>
  </si>
  <si>
    <t>Стоимость сырья</t>
  </si>
  <si>
    <t>Все Себестоимость сырья для производства все продуктов и услуг</t>
  </si>
  <si>
    <t>Сырье 1 для Продукта / Услуги 1</t>
  </si>
  <si>
    <t>Сырье и материалы для производства</t>
  </si>
  <si>
    <t xml:space="preserve">плюс НДС </t>
  </si>
  <si>
    <t>Стоимость сырья с НДС</t>
  </si>
  <si>
    <t>Сырье 2 для Продукта / Услуги 2</t>
  </si>
  <si>
    <t>Сырье 2</t>
  </si>
  <si>
    <t>Стоимость ед. сырья 2 с учетом индексации без НДС</t>
  </si>
  <si>
    <t>Оплата сырья и материалов</t>
  </si>
  <si>
    <t>(*) Валовая прибыль от Продукта / Услуги 1</t>
  </si>
  <si>
    <t>(*) Рентаб. по Валовой прибыли от Продукта / Услуги 1</t>
  </si>
  <si>
    <t>(*) Валовая прибыль от Продукта / Услуги 2</t>
  </si>
  <si>
    <t>(*) Рентаб. по Валовой прибыли от Продукта / Услуги 2</t>
  </si>
  <si>
    <t>Стоимость ресурсов</t>
  </si>
  <si>
    <t>Стоимость ресурсов с НДС</t>
  </si>
  <si>
    <t>Ливневая канализация</t>
  </si>
  <si>
    <t>тариф без НДС</t>
  </si>
  <si>
    <t>Оплата ресурсов</t>
  </si>
  <si>
    <t>Расчет стоимости инж. и энерго ресурсов</t>
  </si>
  <si>
    <t>Стоимость ресурсов без НДС</t>
  </si>
  <si>
    <t>Статья 1</t>
  </si>
  <si>
    <t>Статья 2</t>
  </si>
  <si>
    <t>Статья 3</t>
  </si>
  <si>
    <t>Статья 4</t>
  </si>
  <si>
    <t>Статья 5</t>
  </si>
  <si>
    <t>Всего адм.хоз.расходы без НДС, в т.ч.:</t>
  </si>
  <si>
    <t>Платежи по адм.хоз. расходам с НДС</t>
  </si>
  <si>
    <t>Статья 2 (нет НДС)</t>
  </si>
  <si>
    <t>НДС по адм.хоз. расходам к вычету</t>
  </si>
  <si>
    <t>Всего общепроизводственные расходы без НДС, в т.ч.:</t>
  </si>
  <si>
    <t>Платежи по общепроизводственные расходы с НДС</t>
  </si>
  <si>
    <t>НДС по общепроизводственным расходы к вычету</t>
  </si>
  <si>
    <t>Общепроизвод. расходы</t>
  </si>
  <si>
    <t>Расчет НДС</t>
  </si>
  <si>
    <t>НДС по инвестиционной деятельности к возмещению из бюджета путем выплаты на р/с</t>
  </si>
  <si>
    <t>НДС с продаж</t>
  </si>
  <si>
    <t>НДС начисл.к уплате в бюджет</t>
  </si>
  <si>
    <t>НДС c ресурсов</t>
  </si>
  <si>
    <t>НДС с себестоимости</t>
  </si>
  <si>
    <t>НДС с общепроизв. расходов</t>
  </si>
  <si>
    <t>НДС с адм.-хоз. расходов</t>
  </si>
  <si>
    <t>Всего прочие доходы, в т.ч.:</t>
  </si>
  <si>
    <t>Всего прочие расходы, в т.ч.:</t>
  </si>
  <si>
    <t>Поступления от прочих доходов</t>
  </si>
  <si>
    <t>Оплата проч.расходов</t>
  </si>
  <si>
    <t>Взнос в УК или складочный капитал</t>
  </si>
  <si>
    <t>к-т НДС к уплате / НДС начисл</t>
  </si>
  <si>
    <t>к-т НДС к вычету / НДС начисл</t>
  </si>
  <si>
    <t>Расчет налога на прибыль</t>
  </si>
  <si>
    <t>Расчет налога на имущество</t>
  </si>
  <si>
    <t>Ставка налога на имущество</t>
  </si>
  <si>
    <t>Ставка Налога на имущество</t>
  </si>
  <si>
    <t>https://invest.economy.gov.ru/osobye-ehkonomicheskie-zony</t>
  </si>
  <si>
    <t>Ставка Налога на землю</t>
  </si>
  <si>
    <t>на 10-ть лет</t>
  </si>
  <si>
    <t>Ставка аренды земли от кадастр.ст-ти</t>
  </si>
  <si>
    <t>Налогооблоагаемая база</t>
  </si>
  <si>
    <t>Льготная ставка налога на имущество</t>
  </si>
  <si>
    <t>Сумма льготы по налогу на имущество</t>
  </si>
  <si>
    <t>Льготный тариф соц.взносов</t>
  </si>
  <si>
    <t>Соц.взносы по льготному тарифу всего, в т.ч.:</t>
  </si>
  <si>
    <t>Сумма льготы по соц.взносам</t>
  </si>
  <si>
    <t>Оплата труда с соц.взносами по  льготному тарифу всего, в т.ч.:</t>
  </si>
  <si>
    <t>Структура ФЭМ</t>
  </si>
  <si>
    <t>Бюджет (прогноз) доходов и расходов без учета льгот</t>
  </si>
  <si>
    <t>Бюджет доходов и расходов без льгот</t>
  </si>
  <si>
    <t>Бюджет движения денежных средств без льгот</t>
  </si>
  <si>
    <t>Налог на имущество</t>
  </si>
  <si>
    <t>Оплата труда с соц.взносами по  стандарт тарифу всего, в т.ч.:</t>
  </si>
  <si>
    <t>Сравнение:</t>
  </si>
  <si>
    <t>Чистая прибыль с учетом льгот</t>
  </si>
  <si>
    <t>Чистая прибыль без учета льгот</t>
  </si>
  <si>
    <t>Разница</t>
  </si>
  <si>
    <t>Прибыль/(убыток) до налогообложения с учетом льгот</t>
  </si>
  <si>
    <t>Прибыль/(убыток) до налогообложения без учета льгот</t>
  </si>
  <si>
    <t>Ключевые показатели эффективности проекта с льготами</t>
  </si>
  <si>
    <t>Инвестиции (млн.₽):</t>
  </si>
  <si>
    <t>Рабочих мест:</t>
  </si>
  <si>
    <t>млн.руб.</t>
  </si>
  <si>
    <t>НДС</t>
  </si>
  <si>
    <t>Налоги и сборы (млн.₽)</t>
  </si>
  <si>
    <t>Потребление в год:</t>
  </si>
  <si>
    <t>Эл.энергия (т.кВт/час)</t>
  </si>
  <si>
    <t>Начало строительства:</t>
  </si>
  <si>
    <t>Начало производства:</t>
  </si>
  <si>
    <t>Прибыль от продаж  (млн.₽)</t>
  </si>
  <si>
    <t>Чистая прибыль  (млн.₽)</t>
  </si>
  <si>
    <t>IRR (%)</t>
  </si>
  <si>
    <t>EBITDA (млн.₽)</t>
  </si>
  <si>
    <t>Структура Себестоимости</t>
  </si>
  <si>
    <t>Себестоимость</t>
  </si>
  <si>
    <t>Сырье</t>
  </si>
  <si>
    <t>Ресурсы</t>
  </si>
  <si>
    <t>Оплата труда</t>
  </si>
  <si>
    <t>Общепроизв. расходы</t>
  </si>
  <si>
    <t>Возврат кредитов и займов</t>
  </si>
  <si>
    <t>Инвестиции из бюджета РФ в инфраструктуру (млн.₽):</t>
  </si>
  <si>
    <t>Производство в год &lt;Продукт 1&gt; тыс.ед.:</t>
  </si>
  <si>
    <t>Период окупаемости, лет</t>
  </si>
  <si>
    <t>Дисконтированный период окупаемости, лет</t>
  </si>
  <si>
    <t>источник</t>
  </si>
  <si>
    <t>К-т ускоренной амортизации для участников ОЭЗ</t>
  </si>
  <si>
    <t>Остаточная стоимость ОС после ускор амортизации</t>
  </si>
  <si>
    <t>Амортизация ускоренная</t>
  </si>
  <si>
    <t>Баланс (без учета льгот)</t>
  </si>
  <si>
    <t>Баланс без учета льгот</t>
  </si>
  <si>
    <t>Основные средства после ускор.аморт.</t>
  </si>
  <si>
    <t>Уплата налога на прибыль без льгот</t>
  </si>
  <si>
    <t>Уплата земельного налога без льгот</t>
  </si>
  <si>
    <t>Уплата налога на прибыль  с льготой</t>
  </si>
  <si>
    <t>Уплата земельного налога  с льготой</t>
  </si>
  <si>
    <t>Налог на имущество с льготой</t>
  </si>
  <si>
    <t>Налог на прибыль с льготой</t>
  </si>
  <si>
    <t>Налог на землю с льготой</t>
  </si>
  <si>
    <t>Налог на землю без льготы</t>
  </si>
  <si>
    <t>Налог на имущество без льготы</t>
  </si>
  <si>
    <t>Остаточная стоимость недвижимости на начало периода</t>
  </si>
  <si>
    <t>Остаточная стоимость недвижимости на конец периода</t>
  </si>
  <si>
    <t>Ключевые показатели эффективности проекта без льгот</t>
  </si>
  <si>
    <t>Диаграмма ключевых показатели эффективности проекта без учета льгот</t>
  </si>
  <si>
    <t>Расчет WACC</t>
  </si>
  <si>
    <t>Средневзвешенная стоимость капитала (WACC)</t>
  </si>
  <si>
    <t>Стоимость капитала</t>
  </si>
  <si>
    <t>Стоимость долга</t>
  </si>
  <si>
    <t>Общий долг/Капитал</t>
  </si>
  <si>
    <t>Модель определения стоимости собственного капитала (CAPM)</t>
  </si>
  <si>
    <t>Безрисковая доходность (US treasures 10 years at 25/12/2023)</t>
  </si>
  <si>
    <t>Премия за риск акционерного капитала</t>
  </si>
  <si>
    <t>Рыночный риск при нулевом долге</t>
  </si>
  <si>
    <t>Коэффициент рыночного риска (equity beta) при нулевом долге</t>
  </si>
  <si>
    <t>Премия за страновой риск</t>
  </si>
  <si>
    <t>Премия за размер</t>
  </si>
  <si>
    <t>Стоимость долга после налогов</t>
  </si>
  <si>
    <t>Средневзвешенная процентная ставка кредита, предоставляемого банками</t>
  </si>
  <si>
    <t>Источник</t>
  </si>
  <si>
    <t>Биржевые данные</t>
  </si>
  <si>
    <t xml:space="preserve">Внутренний показатель </t>
  </si>
  <si>
    <t>Расчетный показатель</t>
  </si>
  <si>
    <t>Статистический бюллетень ЦБ РФ № 11, 2023 от 07.12.2023 (стр 95)</t>
  </si>
  <si>
    <t>ИТОГО</t>
  </si>
  <si>
    <t>Бюджет (прогноз) движение денежных средств без учета льгот</t>
  </si>
  <si>
    <t>Листы с исходными параметрами ОЭЗ</t>
  </si>
  <si>
    <t>Листы с индикативами проектов без льгот</t>
  </si>
  <si>
    <t>Расчет налога на землю / арендной платы за землю</t>
  </si>
  <si>
    <t>Расчет налога на землю / Арендной платы за землю</t>
  </si>
  <si>
    <t>Описание последовательности заполнения фин.-эконом. модели</t>
  </si>
  <si>
    <t>Примечания</t>
  </si>
  <si>
    <t>1</t>
  </si>
  <si>
    <t>До наачала работы с ФЭМ следует ознакомиться с общим представлением о Структуре ФЭМ.</t>
  </si>
  <si>
    <t>Для навигации внутри ФЭМ максимально используются гиперссылки для перехода к зависимым по смыслу сущностям.</t>
  </si>
  <si>
    <t>2</t>
  </si>
  <si>
    <t>Заполнить макроэкономические параметры</t>
  </si>
  <si>
    <t>Заполнить исходные условия</t>
  </si>
  <si>
    <t>3</t>
  </si>
  <si>
    <t>Заполнить данные по продажам продукции, услуг</t>
  </si>
  <si>
    <t>Выполнено задач:</t>
  </si>
  <si>
    <t>4</t>
  </si>
  <si>
    <t>5</t>
  </si>
  <si>
    <t>Заполнить данные по себестоимости продукции, услуг</t>
  </si>
  <si>
    <t>Проверить расчет по потребляемым инженерным и коммунальным ресурсам</t>
  </si>
  <si>
    <t>6</t>
  </si>
  <si>
    <t>7</t>
  </si>
  <si>
    <t>Проверить расчеты персоналу и ФОТ с налогами</t>
  </si>
  <si>
    <t>8</t>
  </si>
  <si>
    <t>9</t>
  </si>
  <si>
    <t>Проверить расчеты по инвестициям и расчету амортизации</t>
  </si>
  <si>
    <t>обратить внимание на льготы по ОЭЗ</t>
  </si>
  <si>
    <t>Запонить и проверить расчеты по финансированию проекта</t>
  </si>
  <si>
    <t>обратить внимание: расчеты сделаны на 5 кредитов (можно допольнить)</t>
  </si>
  <si>
    <t>обратить внимание: расчеты сделаны на 12 объектов внеоб.активов (можно допольнить)</t>
  </si>
  <si>
    <t>10</t>
  </si>
  <si>
    <t>Всего задач на контроле:</t>
  </si>
  <si>
    <t>Описание задачи</t>
  </si>
  <si>
    <t>Запонить лист общепроизводственные расходы</t>
  </si>
  <si>
    <t>перечень статей на усмотрение и дополнение</t>
  </si>
  <si>
    <t>11</t>
  </si>
  <si>
    <t>Запонить лист адм.- хозяйственные расходы</t>
  </si>
  <si>
    <t>12</t>
  </si>
  <si>
    <t>Запонить лист Прочие доходы</t>
  </si>
  <si>
    <t>перечень статей на усмотрение и дополнение. Обратить внимание на статьи расходов, которые оплачиваются с НДС</t>
  </si>
  <si>
    <t>13</t>
  </si>
  <si>
    <t>Запонить лист Прочие расходы</t>
  </si>
  <si>
    <t>14</t>
  </si>
  <si>
    <t>Проверить лист Контроль</t>
  </si>
  <si>
    <t>Лучше смотреть в этот лист чаще</t>
  </si>
  <si>
    <t>15</t>
  </si>
  <si>
    <t>Проверить лист БДР с льготами (а также листы БДДС и Баланс)</t>
  </si>
  <si>
    <t>смотрите поясняющие графики ниже таблиц</t>
  </si>
  <si>
    <t>16</t>
  </si>
  <si>
    <t>Проверить лист БДР без льгот (а также листы БДДС и Баланс без льгот)</t>
  </si>
  <si>
    <t>17</t>
  </si>
  <si>
    <t>Смотреть листы с диаграммами по ключевым экономическим показателям (с льготами и без льгот)</t>
  </si>
  <si>
    <t>убедиться что все показатели удовлетворяют требованиям</t>
  </si>
  <si>
    <t>18</t>
  </si>
  <si>
    <t>Смотреть лист анализа чувствительности модели</t>
  </si>
  <si>
    <t>19</t>
  </si>
  <si>
    <t>Провести и проверить расчет WACC</t>
  </si>
  <si>
    <t>&lt;в работе&gt;</t>
  </si>
  <si>
    <t>Чек-лист для контроля</t>
  </si>
  <si>
    <t>Персонал, ФОТ, страховые взносы</t>
  </si>
  <si>
    <t>Одного специалиста адм-управл. Персонала с учетом индекс.</t>
  </si>
  <si>
    <t>к-т ускоренной амортизации</t>
  </si>
  <si>
    <t>Ускоренная амортизация</t>
  </si>
  <si>
    <t>Годовая ставка по кредиту</t>
  </si>
  <si>
    <t>Продажная цена продукта 3 без НДС с учетом индекс.</t>
  </si>
  <si>
    <t>Темп увеличения продаж  количества продукта 3 год к году</t>
  </si>
  <si>
    <t xml:space="preserve">Плюс НДС </t>
  </si>
  <si>
    <t>Электроэнергия мощность</t>
  </si>
  <si>
    <t>Электроэнергия потребление</t>
  </si>
  <si>
    <t>обязат ссылка на Закон или норм акт</t>
  </si>
  <si>
    <t>Выручка</t>
  </si>
  <si>
    <t>Выручка без НДС</t>
  </si>
  <si>
    <t>Выручка с НДС</t>
  </si>
  <si>
    <t>Выручка по всем продуктам и услугам</t>
  </si>
  <si>
    <t>Выручка от продаж продукции, услуг</t>
  </si>
  <si>
    <t>Итого</t>
  </si>
  <si>
    <t>Соотв. Измен. Нераспределенной прибыли в Балансе и чистой прибыли в ФР</t>
  </si>
  <si>
    <t>Продажная цена продукта 3 без НДС с вычетом индекс.</t>
  </si>
  <si>
    <t>Вода хоз.- быт. назначения</t>
  </si>
  <si>
    <t>Вода пром. назначения</t>
  </si>
  <si>
    <t>Водоотведение пром. Назначения</t>
  </si>
  <si>
    <t>Водоотведение пром. хоз.- быт. Назначения</t>
  </si>
  <si>
    <t>Водоотведение пром. назначения</t>
  </si>
  <si>
    <t>Вода пром. Назначения</t>
  </si>
  <si>
    <t>Вода хоз.-быт. Назначения</t>
  </si>
  <si>
    <t>Вода хоз.-быт. назначения</t>
  </si>
  <si>
    <t>Водоотведение хоз.-быт. Назначения</t>
  </si>
  <si>
    <t>Водоотведение хоз.- быт. Назначения</t>
  </si>
  <si>
    <t>Выручка (млн.₽)</t>
  </si>
  <si>
    <t>Выручка без НДС Продукта / Услуги 1</t>
  </si>
  <si>
    <t>Неотрицательный остаток ДС</t>
  </si>
  <si>
    <t>Оплата труда основн.произв. персонала с соц.взносамми</t>
  </si>
  <si>
    <t>Оплата труда основн.произв. персонала с соц.взносами</t>
  </si>
  <si>
    <t>Уплата налога на имущество без льгот</t>
  </si>
  <si>
    <t>Адм.-хозяйственные расходы</t>
  </si>
  <si>
    <t>Уплата налога на имущество с льготой</t>
  </si>
  <si>
    <t>Стоимость объекта ОС во внеоборотных активах</t>
  </si>
  <si>
    <t>Стоимость объекта ОС во внеоборотных активах ускор.аморт.</t>
  </si>
  <si>
    <t>Расчет инвестиций и амортизации Основных средств</t>
  </si>
  <si>
    <t>Взносы в Уставный (складочный) капитал или иные взносы участников всего, в т.ч.</t>
  </si>
  <si>
    <t>Объем инвестиций</t>
  </si>
  <si>
    <t>Финансовая деятельность: привлеение кредитов, займов и др.</t>
  </si>
  <si>
    <t>Расшифровка общепроизводственных расходов</t>
  </si>
  <si>
    <t>Расшифровка административно-хозяйственных расходов</t>
  </si>
  <si>
    <t>Расшифровка прочих доходов</t>
  </si>
  <si>
    <t>Расшифровка прочих расходов</t>
  </si>
  <si>
    <t>Содержание книги</t>
  </si>
  <si>
    <t>Описание последовательности заполнения фин.-эконом. Модели</t>
  </si>
  <si>
    <t xml:space="preserve">Описание структруры финансово-экономической модели (п.п.4 п.2 МИнЭк № 626) </t>
  </si>
  <si>
    <t>Дашборд по основным показателям проекта без льгот</t>
  </si>
  <si>
    <t>Таблицы для переноса в текстовое описание проекта в docx-файл</t>
  </si>
  <si>
    <t>Бюджет (прогноз) доходов и расходов с льготами</t>
  </si>
  <si>
    <t>Прогнозный баланс с учетом льготами</t>
  </si>
  <si>
    <t>Бюджет (прогноз) движение денежных средств с учетом льготами</t>
  </si>
  <si>
    <t>Контрольный лист согласованности и отсутствия ошибок. На каждый лист вынесена инф. с данного листа</t>
  </si>
  <si>
    <t>без НДС</t>
  </si>
  <si>
    <t>с НДС</t>
  </si>
  <si>
    <t>Период осуществления капитальных вложений</t>
  </si>
  <si>
    <t>год(ы)</t>
  </si>
  <si>
    <t xml:space="preserve">Проектная мощность </t>
  </si>
  <si>
    <t>н/п</t>
  </si>
  <si>
    <t>ед.изм</t>
  </si>
  <si>
    <t>Ввод в эксплуатацию</t>
  </si>
  <si>
    <t>Объем продукции(услуг), освобожденный от НДС</t>
  </si>
  <si>
    <t>млн. руб.</t>
  </si>
  <si>
    <t>Собственные средства</t>
  </si>
  <si>
    <t>Заемные средства</t>
  </si>
  <si>
    <t>Финансирование инвестиционного проекта, млн.рублей</t>
  </si>
  <si>
    <t>Расходы на инвестиции</t>
  </si>
  <si>
    <t>Оплата капитального строительства (с НДС)</t>
  </si>
  <si>
    <t>Инвестиции в операционную деятельность</t>
  </si>
  <si>
    <t>в т.ч. НДС</t>
  </si>
  <si>
    <t>Инвестиции без НДС</t>
  </si>
  <si>
    <t>Финансирование капитальных вложений в инвестиционной фазе по годам, млн.рублей</t>
  </si>
  <si>
    <t>Наименование</t>
  </si>
  <si>
    <t>Всего</t>
  </si>
  <si>
    <t>Коммунальные объекты</t>
  </si>
  <si>
    <t>Итого с НДС</t>
  </si>
  <si>
    <t>Цена и объемы реализации по годам</t>
  </si>
  <si>
    <t>всего</t>
  </si>
  <si>
    <t>Цена тыс.руб/т</t>
  </si>
  <si>
    <t>Выручка по годам, млн.рублей</t>
  </si>
  <si>
    <t>Выручка, б/НДС</t>
  </si>
  <si>
    <t>Показатель</t>
  </si>
  <si>
    <t>Сценарий с льготами ОЭЗ</t>
  </si>
  <si>
    <t>Сценарий без льгот ОЭЗ</t>
  </si>
  <si>
    <t>IRR (внутренняя норма доходности), %</t>
  </si>
  <si>
    <t>РР (простой срок окупаемости), лет</t>
  </si>
  <si>
    <t>PI (индекс доходности инвестиций), ед.</t>
  </si>
  <si>
    <t>Поступления в бюджет и внебюджетные фонды</t>
  </si>
  <si>
    <t>Использовано налоговых льгот</t>
  </si>
  <si>
    <t>НДС, млн.рублей</t>
  </si>
  <si>
    <t>НДФЛ, млн.рублей</t>
  </si>
  <si>
    <t>Налог на прибыль, млн.рублей</t>
  </si>
  <si>
    <t>Налог на имущество организаций, млн.рублей</t>
  </si>
  <si>
    <t>Итого поступления в бюджеты, в т.ч.:</t>
  </si>
  <si>
    <t>- федеральный бюджет</t>
  </si>
  <si>
    <t>- региональный бюджет</t>
  </si>
  <si>
    <t>- местный бюджет</t>
  </si>
  <si>
    <t>Страховые взносы</t>
  </si>
  <si>
    <t>Таможенные пошлины</t>
  </si>
  <si>
    <t xml:space="preserve">Количество рабочих мест </t>
  </si>
  <si>
    <t>Количество создаваемых рабочих мест 
(нарастающим итогом)</t>
  </si>
  <si>
    <t>Количество создаваемых рабочих мест 
(по годам)</t>
  </si>
  <si>
    <t>Средняя зп тыс.руб.</t>
  </si>
  <si>
    <t xml:space="preserve">Привлечение </t>
  </si>
  <si>
    <t xml:space="preserve">Погашение </t>
  </si>
  <si>
    <t>Погашение процентов</t>
  </si>
  <si>
    <t>Условия предоставления займа</t>
  </si>
  <si>
    <t>Сумма займа</t>
  </si>
  <si>
    <t>млн.руб</t>
  </si>
  <si>
    <t>Эффективная процентная ставка</t>
  </si>
  <si>
    <t xml:space="preserve">Срок привлечения средств </t>
  </si>
  <si>
    <t xml:space="preserve">Размер собственного участия </t>
  </si>
  <si>
    <t>не менее %</t>
  </si>
  <si>
    <t xml:space="preserve">Валюта займа </t>
  </si>
  <si>
    <t>руб.</t>
  </si>
  <si>
    <t>Срок предоставления займа</t>
  </si>
  <si>
    <t>годы</t>
  </si>
  <si>
    <t>Соглашение</t>
  </si>
  <si>
    <t>Год реализации инвестиционного проекта</t>
  </si>
  <si>
    <t>Наименование показателя</t>
  </si>
  <si>
    <t>Объем внебюджетных источников (в том числе капитальных вложений), осуществленных в рамках реализации Инвестиционного проекта на территории особой экономической зоны  (далее – ОЭЗ), млн. руб. без НДС</t>
  </si>
  <si>
    <t>Объем капитальных вложений, осуществленных в рамках реализации Инвестиционного проекта на территории  ОЭЗ, млн. руб. без НДС</t>
  </si>
  <si>
    <t>Количество рабочих мест, созданных на территории ОЭЗ, ед.</t>
  </si>
  <si>
    <t>Объем выручки от продажи товаров, выполнения работ, оказания услуг за вычетом НДС, акцизов и суммы доходов (в денежном выражении), млн. руб.</t>
  </si>
  <si>
    <t>Объем налогов, уплаченных резидентом ОЭЗ в бюджеты всех уровней бюджетной системы Российской Федерации (без учета взносов во внебюджетные фонды), млн. руб.</t>
  </si>
  <si>
    <t>Объем таможенных платежей, уплаченных резидентом ОЭЗ, млн. руб.</t>
  </si>
  <si>
    <t>Финансирование инвестиций</t>
  </si>
  <si>
    <t>Источник финансирования</t>
  </si>
  <si>
    <t xml:space="preserve">    - федеральный бюджет</t>
  </si>
  <si>
    <t xml:space="preserve">    - региональный бюджет</t>
  </si>
  <si>
    <t xml:space="preserve">    - муниципальный бюджет</t>
  </si>
  <si>
    <t>Внебюджетное финансирование, в т.ч.:</t>
  </si>
  <si>
    <t xml:space="preserve">    - собственные средства резидентов</t>
  </si>
  <si>
    <t xml:space="preserve">    - заемные средства резидентов</t>
  </si>
  <si>
    <t xml:space="preserve">    - денежный поток от операционной деятельности</t>
  </si>
  <si>
    <t>Итого, млн.рублей</t>
  </si>
  <si>
    <t>Ссылки для перехода к листам источн.данных</t>
  </si>
  <si>
    <t>2025-2026</t>
  </si>
  <si>
    <t>Объем капитальных вложений (млн.руб.)</t>
  </si>
  <si>
    <t>Объем продаж, тыс.т / шт.</t>
  </si>
  <si>
    <t>перейти</t>
  </si>
  <si>
    <t>Балансовое равенство (Баланс без льгот)</t>
  </si>
  <si>
    <t>Неотрицательный остаток ДС (БДДС без льгот)</t>
  </si>
  <si>
    <t>Соответ. ДС в балансе и БДДС</t>
  </si>
  <si>
    <t>Соответ. ДС в балансе и БДДС (без льгот)</t>
  </si>
  <si>
    <t>Соотв. Измен. Нераспределенной прибыли в Балансе и чистой прибыли в ФР (без льгот)</t>
  </si>
  <si>
    <t>Ставка Налога на прибыль всего, в т.ч.:</t>
  </si>
  <si>
    <t>фед.бюджет</t>
  </si>
  <si>
    <t>рег.бюджет</t>
  </si>
  <si>
    <t>Ставка Налога на прибыль льгота всего, в т.ч.:</t>
  </si>
  <si>
    <t>Основание: Закон …..</t>
  </si>
  <si>
    <t>Основание: Закон …..на 10-ть лет</t>
  </si>
  <si>
    <t>Основание: Закон …..на 5-ть лет</t>
  </si>
  <si>
    <t>объект налог.обл.ДОХОД</t>
  </si>
  <si>
    <t>Ставка Налога по УСН:</t>
  </si>
  <si>
    <t>объект налог.обл.ДОХОД-РАСХОД</t>
  </si>
  <si>
    <t>объект налог.обл.ДОХОД-РАСХОД льгота</t>
  </si>
  <si>
    <t>объект налог.обл.ДОХОД льгота</t>
  </si>
  <si>
    <t>Тамож. платежи</t>
  </si>
  <si>
    <t>п.п. 3 п. 1 статьи 151 НК РФ
 ст. 37 №116-ФЗ от 22.07.2005 "Об особых экономических зонах в Российской Федерации"</t>
  </si>
  <si>
    <t>Если режим "Свободнаяч таможенная зона":</t>
  </si>
  <si>
    <t>требуется дать основание!</t>
  </si>
  <si>
    <t>Налог на прибыль к начисл. по стандартной ставке всего, в т.ч.:</t>
  </si>
  <si>
    <t>Налог на прибыль к начисл. по льготной ставке всего, в т.ч.:</t>
  </si>
  <si>
    <t>в т.ч. в:</t>
  </si>
  <si>
    <t>Сумма льготы по налогу на прибыль всего, в т.ч.:</t>
  </si>
  <si>
    <t>График привлечения/погашения заемных средств (млн.руб.)</t>
  </si>
  <si>
    <t>Свод всех налогов и налоговых льгот</t>
  </si>
  <si>
    <t>Налог на имущество к начисл. по стандартной ставке</t>
  </si>
  <si>
    <t>Налог на имущество к начисл. по льготной ставке</t>
  </si>
  <si>
    <t>местный бюджет</t>
  </si>
  <si>
    <t>Всего Выручка без НДС</t>
  </si>
  <si>
    <t>Всего ресурсы</t>
  </si>
  <si>
    <t>БДР</t>
  </si>
  <si>
    <t>БДДС</t>
  </si>
  <si>
    <t>Ключевые показатели эффективности проекта без льгот. Окупаемость проекта.</t>
  </si>
  <si>
    <t>Ключевые показатели эффективности проекта с льготами.  Окупаемость проекта.</t>
  </si>
  <si>
    <t>Объем заплан инвест накопл итогом за три года содания не менее инвестиций фед., регион. И мест. Бюджетов</t>
  </si>
  <si>
    <t>Если наколп итогом за 10 лет инвест более 20 млрд. должно быть не менее 1 инвест проектов</t>
  </si>
  <si>
    <t>Если наколп итогом за 10 лет инвест от 8 до 20 млрд. должно быть не менее 5 инвест проектов</t>
  </si>
  <si>
    <t>Пункт 5:</t>
  </si>
  <si>
    <t>Пункт 6:</t>
  </si>
  <si>
    <t>Наличие инвест проекта (включая из фин-эк показатели, подтвержденные фин моделями)</t>
  </si>
  <si>
    <t>http://publication.pravo.gov.ru/document/0001202402150022?ysclid=ltr7u2qhku93252825</t>
  </si>
  <si>
    <t>На конец 10 года инвест мультипликатор: планир объем инвестиций / размер расходов всех бюджетов РФ не менее 5</t>
  </si>
  <si>
    <t>Пункт 7:</t>
  </si>
  <si>
    <t>инженерная</t>
  </si>
  <si>
    <t>транспортная</t>
  </si>
  <si>
    <t>инновационная</t>
  </si>
  <si>
    <t>социальная</t>
  </si>
  <si>
    <t>иная инфраструктура</t>
  </si>
  <si>
    <t>Обоснованность расчета плановых показателей развития инфраструктуры:</t>
  </si>
  <si>
    <t>Пункт 9:</t>
  </si>
  <si>
    <t>Показатель рентабельности: (планируемые инвестиции + обязат платежи резидентов) / (планируемые расходы бюджетов на инфраструктуру + льготы по обязат платежам резидентов) не менее 2 для промышл.-произв. Зон и не менее 1 для турист-экскурс., техн.-внедренч и портовым зонам</t>
  </si>
  <si>
    <t>Пункт 11:</t>
  </si>
  <si>
    <t>Возможность обеспечить ресурсами в т.ч. кадровыми</t>
  </si>
  <si>
    <t>Пункт 12:</t>
  </si>
  <si>
    <t>Наличие ППТ и проекта плана развития ОЭЗ</t>
  </si>
  <si>
    <t>Пункт 13:</t>
  </si>
  <si>
    <t>Наличие анализа эколог рисков</t>
  </si>
  <si>
    <t>Критерии</t>
  </si>
  <si>
    <t>Правила создания ОЭЗ</t>
  </si>
  <si>
    <t>Требования к инвест проектам реализ. Резидентами ОЭЗ</t>
  </si>
  <si>
    <t>Источники фин-ния д.б. определены, резидент должен подтвердить в пис.форме готовность реализовать заявл. Инвест проет с прилож. Подтв.док:</t>
  </si>
  <si>
    <t>собств.ср-ва; ср-ва учредителей (участников); документ подтв.со стороны кред орг. Предосавить фин-ние</t>
  </si>
  <si>
    <t>проработка вариаетов обеспечения инвест проекта инфрастуктурой, сырьем, оборудованием, рынками сбыта.</t>
  </si>
  <si>
    <t>Мин объем инвест. (без учета НДС):</t>
  </si>
  <si>
    <t>Пункт 4:</t>
  </si>
  <si>
    <t>не менее 400 млн.руб. для строй инфраструкт. Мор., реч. Порта или аэропорта в портовой ОЭЗ</t>
  </si>
  <si>
    <t xml:space="preserve">не менее 120 млн.руб. пром. - производственная деят-ть, Логистика,  реконстр. Инфраструкт в мор., реч. портах </t>
  </si>
  <si>
    <t>не менее 50 млн.руб. в проекты в соответсв. С Постановлением …связанные с достижением технолог суверенитета и структурной адаптпцией экономики РФ</t>
  </si>
  <si>
    <t>нет лимита для инвест проектов осуществ. Технико-внедренческой деятельности, тур.-рекреационной и портовой деятельности</t>
  </si>
  <si>
    <t>если реализ на готовых произв площадках без предоставл зем участков, то миним объем инвест 2/3 от вышеперечисл.</t>
  </si>
  <si>
    <t>Резидент ОЭЗ в первые 3 года должен осущесвить не менее 2/3 общего объема инвест.</t>
  </si>
  <si>
    <t>Дисконт срок окупаемости менее 15 лет</t>
  </si>
  <si>
    <t>При инвест в размере выше 5 млрд.руб. трепования п.5 и 6 не применяются</t>
  </si>
  <si>
    <t>Ставка по налогу на прибыль</t>
  </si>
  <si>
    <t>Проценты по кредитам, уплаченные за год</t>
  </si>
  <si>
    <t>Расчет средневзвешенной ставки по налогу на прибыль (%)</t>
  </si>
  <si>
    <t>Средневзвешенная ставка по налогу на прибыль за период кредитования (%)</t>
  </si>
  <si>
    <t>* на основании прогноза ЦБ РФ по ключевой ставке от 16.02.2024 и полученных писем от банков</t>
  </si>
  <si>
    <t>Ставка по предоставленным кредитам*</t>
  </si>
  <si>
    <t>Среднегодовое значение величины кредитных средств по годам (тыс.рублей)</t>
  </si>
  <si>
    <t>Расчет средневзвешенной стоимости кредита (%)</t>
  </si>
  <si>
    <t>Средневзвешенная стоимость кредита по резиденту (%)</t>
  </si>
  <si>
    <t>Безрисковая доходность (US treasures 10 years at 01/03/2024)</t>
  </si>
  <si>
    <t>(1-T)</t>
  </si>
  <si>
    <t>(1 минус ставка по налогу на прибыль)</t>
  </si>
  <si>
    <t>х</t>
  </si>
  <si>
    <t>Rd</t>
  </si>
  <si>
    <t xml:space="preserve">Средневзвешенная стоимость кредитов </t>
  </si>
  <si>
    <t>Суммарная стоимость капитала</t>
  </si>
  <si>
    <t>D</t>
  </si>
  <si>
    <t>Re</t>
  </si>
  <si>
    <t>Требуемая доходность на собственный капитал</t>
  </si>
  <si>
    <t>E</t>
  </si>
  <si>
    <t>Расчет средневзвешенной стоимости капитала (WACC)</t>
  </si>
  <si>
    <t>Ставка по кредиту</t>
  </si>
  <si>
    <t>Льготная ставка по кредиту</t>
  </si>
  <si>
    <t>УСН</t>
  </si>
  <si>
    <t>Исходные условия для проекта</t>
  </si>
  <si>
    <t>Исходные условия</t>
  </si>
  <si>
    <t>Внешние условия. Макроэкономические параметры.</t>
  </si>
  <si>
    <t>PP - окупаемость простая</t>
  </si>
  <si>
    <t xml:space="preserve">DPP - окупаемость дисконтированная </t>
  </si>
  <si>
    <t xml:space="preserve"> IRR - Внутрянняя норма доходности денежного потока</t>
  </si>
  <si>
    <t>Расчет кредита для чувствительности</t>
  </si>
  <si>
    <t>Диапазон изменения показателей:</t>
  </si>
  <si>
    <t>Возможные значения чистой прибыли/убытка:</t>
  </si>
  <si>
    <t>Возможные значения:</t>
  </si>
  <si>
    <t>Выручки:</t>
  </si>
  <si>
    <t>Себестоимости:</t>
  </si>
  <si>
    <t>Ставки дисконтирования:</t>
  </si>
  <si>
    <t>Ставки по кредиту:</t>
  </si>
  <si>
    <t>при изменении выручки:</t>
  </si>
  <si>
    <t>при изменении себестоимости:</t>
  </si>
  <si>
    <t>Возможные значения IRR:</t>
  </si>
  <si>
    <t>при ставке по кредиту:</t>
  </si>
  <si>
    <t>Всё что ниже только для расчетов:</t>
  </si>
  <si>
    <t>Выручка (процент изменения):</t>
  </si>
  <si>
    <t>Себестоимость (процент изменения):</t>
  </si>
  <si>
    <t>Расчет чувствительности проекта</t>
  </si>
  <si>
    <t>Проценты к уплате  
(расчет по данному листу!)</t>
  </si>
  <si>
    <t>Уплата НДС по опер.деят-ти
(расчет по данному листу!)</t>
  </si>
  <si>
    <t>Уплата налога на прибыль
(расчет по данному листу!)</t>
  </si>
  <si>
    <t>Оплата процентов по кредитам и займам (расчет по данному листу!)</t>
  </si>
  <si>
    <t>Чувствительность</t>
  </si>
  <si>
    <t>DDP (дисконтированный срок окупаемости), лет</t>
  </si>
  <si>
    <t>Анализ чувствительности проекта к изменению выручки, себестоимости, ставки по кредиту, ставке дисконтирования</t>
  </si>
  <si>
    <t>Расчетные листы</t>
  </si>
  <si>
    <t>Дополнительные листы (в последствии можно и удалить)</t>
  </si>
  <si>
    <t>Индекс реальной заработной платы</t>
  </si>
  <si>
    <t>Индекс цен на электроэнергию</t>
  </si>
  <si>
    <t>Индекс цен на теплоснабжение</t>
  </si>
  <si>
    <t>Индекс цен на водоснабж.-водоотв.</t>
  </si>
  <si>
    <t>Индекс цен на газ</t>
  </si>
  <si>
    <t>Основание для льготной ставки: &lt;Документ&gt;</t>
  </si>
  <si>
    <t>Баланс</t>
  </si>
  <si>
    <t>Ставка НДФЛ всего, в т.ч.:</t>
  </si>
  <si>
    <t>регион. Бюджет</t>
  </si>
  <si>
    <t>Основание источник данных для зп указать</t>
  </si>
  <si>
    <t>Обратие внимание: расходы на технолог. присоединение включается в первонач. стоимость объектов ОС (Письмо ФНС от 11 января 2018 г. № СД-4-3/155@)</t>
  </si>
  <si>
    <t>График реализации проекта</t>
  </si>
  <si>
    <t>Капитальные вложения</t>
  </si>
  <si>
    <t>Инженерные потребности</t>
  </si>
  <si>
    <t>Численность персонала</t>
  </si>
  <si>
    <t>Значение цветовой палитры</t>
  </si>
  <si>
    <t>Инфляция</t>
  </si>
  <si>
    <t>Ставки</t>
  </si>
  <si>
    <t>Курсы валют</t>
  </si>
  <si>
    <t>Ставки налогов</t>
  </si>
  <si>
    <t>Заработная плата</t>
  </si>
  <si>
    <t>Тарифы на потребляемые ресурсы (без НДС)</t>
  </si>
  <si>
    <t>Инженерные ресурсы</t>
  </si>
  <si>
    <t>Дисконтированный денежный поток</t>
  </si>
  <si>
    <t>Персонал и ФОТ</t>
  </si>
  <si>
    <t>Инвестиции</t>
  </si>
  <si>
    <t>Налог на прибыль фед.бюджет</t>
  </si>
  <si>
    <t>Налог на прибыль рег.бюджет</t>
  </si>
  <si>
    <t>НДФЛ регион.бюджет</t>
  </si>
  <si>
    <t>НДФЛ местный бюджет</t>
  </si>
  <si>
    <t>Всего налогов и взносов, в т.ч.:</t>
  </si>
  <si>
    <t>федеральный бюджет</t>
  </si>
  <si>
    <t>региональный обл. бюджет</t>
  </si>
  <si>
    <t>Дашборд ОЭЗ. Налоги и сборы</t>
  </si>
  <si>
    <t>Дашборд налоги и сборы</t>
  </si>
  <si>
    <t>Использование налоговых льгот всего, в т.ч.:</t>
  </si>
  <si>
    <t>льгота по налогу на имущество</t>
  </si>
  <si>
    <t>Общий режим налогообожения</t>
  </si>
  <si>
    <t>Режим налогообожения ОЭЗ</t>
  </si>
  <si>
    <t>Логический контроль корректности расчетов</t>
  </si>
  <si>
    <t>Контроль соблюдения условий Постановления Правительства № 159 от 14.02.2024</t>
  </si>
  <si>
    <t>Пункт 1:</t>
  </si>
  <si>
    <t>Лист контроль корректности</t>
  </si>
  <si>
    <t>Обратите внимание: тут следует изменять показатели для анализа Чувствительности проекта:</t>
  </si>
  <si>
    <t>Тут следует вносить желаемый диапазон изменения входных показателей:</t>
  </si>
  <si>
    <t>Прямые субсидии из бюджетов РФ в данный проект. Основание:</t>
  </si>
  <si>
    <t>Финансы. Выплата кредитов</t>
  </si>
  <si>
    <t>Обратие внимание: расходы на технолог. присоединение включается в первонач. стоимость объектов ОС 
(Письмо ФНС от 11 января 2018 г. № СД-4-3/155@)</t>
  </si>
  <si>
    <t>стресс-тест</t>
  </si>
  <si>
    <t>Итоговые таблицы, представленные в текстовых файлах с описанием проекта</t>
  </si>
  <si>
    <t xml:space="preserve">Ставка дисконтирования </t>
  </si>
  <si>
    <t>Рыночная ставка по кредиту</t>
  </si>
  <si>
    <t>льгота по соц.взносам</t>
  </si>
  <si>
    <t>п.п.</t>
  </si>
  <si>
    <t>разместил тут т.к. столбец B широкий с наименов.показателей</t>
  </si>
  <si>
    <t>Обратите внимаие: льготные кредиты выделяем!</t>
  </si>
  <si>
    <t>Расчеты по упрощенной систееа наогообл.</t>
  </si>
  <si>
    <t>Необходимо дать ссылку источник</t>
  </si>
  <si>
    <t xml:space="preserve">(%) ставка дисконтирования связана с WACC </t>
  </si>
  <si>
    <t>Ниже данные для расчетов на данном листе</t>
  </si>
  <si>
    <t>фед. бюджет</t>
  </si>
  <si>
    <t>рег. бюджет</t>
  </si>
  <si>
    <t>регион. бюджет</t>
  </si>
  <si>
    <t>налога на прибыль в федеральный бюджет</t>
  </si>
  <si>
    <t>налога на прибыль в региональный обл. бюджет</t>
  </si>
  <si>
    <t>Параметры стресс-теста // задаем другие ставки
 относительно обоснованных выше</t>
  </si>
  <si>
    <t>Кадастр.стоимость - База расчета арендной платы за землю</t>
  </si>
  <si>
    <t>Таблицы данных для исследования</t>
  </si>
  <si>
    <t>Стандартный режим</t>
  </si>
  <si>
    <t>Льготный режим ОЭЗ</t>
  </si>
  <si>
    <t>НДФЛ</t>
  </si>
  <si>
    <t>Расчет численности и оплаты труда</t>
  </si>
  <si>
    <t>данные выставил примерно для проверки вычисляемости стресс-теста</t>
  </si>
  <si>
    <t>Ключевые показатели проекта</t>
  </si>
  <si>
    <t>Листы с индикативами проектов в режиме стресс-тест</t>
  </si>
  <si>
    <t>Ключевые показатели эффективности проекта без льгот. Окупаемость проекта. В режиме: стресс-тест</t>
  </si>
  <si>
    <t>Бюджет (прогноз) доходов и расходов в режиме: стресс-тест</t>
  </si>
  <si>
    <t>Бюджет (прогноз) движение денежных средств в режиме: стресс-тест</t>
  </si>
  <si>
    <t>Баланс в режиме: стресс-тест</t>
  </si>
  <si>
    <t>Эти листы возможно убрать перед запуском:</t>
  </si>
  <si>
    <t>Инвестиции. Расчет амортизации основных средств. Расчет ускоренной амортизации</t>
  </si>
  <si>
    <t>Персонал. ФОТ</t>
  </si>
  <si>
    <t>1 Юань</t>
  </si>
  <si>
    <t>руб. за юань</t>
  </si>
  <si>
    <t>Ставка НДС</t>
  </si>
  <si>
    <t>Ставки социальных взносов и НДФЛ</t>
  </si>
  <si>
    <t>Ставка дисконтирования (см. лист WACC)</t>
  </si>
  <si>
    <t>Налог на прибыль с льготой 
(расчет по данному листу!)</t>
  </si>
  <si>
    <t>Контроль соответствия идентичных показателей</t>
  </si>
  <si>
    <t>Выручка (лист БДР)</t>
  </si>
  <si>
    <t>Сумма кредита/займа на кон. Периода (лист Финансы)</t>
  </si>
  <si>
    <t>Выручка без НДС (лист Выручка)</t>
  </si>
  <si>
    <t>Долгосрочные кредиты и займы (лист Баланс)</t>
  </si>
  <si>
    <t>Основные средства после ускор.аморт. (лист Баланс)</t>
  </si>
  <si>
    <t>Чистый ден.поток опер.деят-ть (лист КПЭ)</t>
  </si>
  <si>
    <t>Чистый ден.поток опер.деят-ть (лист БДДС)</t>
  </si>
  <si>
    <t>Стоимость сырья (лист Себестоимость)</t>
  </si>
  <si>
    <t>Сырье и материалы для производства (лист БДР)</t>
  </si>
  <si>
    <t>Стоимость ресурсов без НДС (лист Ресурсы)</t>
  </si>
  <si>
    <t>Основные средства после ускор.аморт. (лист Инвестиции)</t>
  </si>
  <si>
    <t>Дашборд 1. Графики из данных листа "ИтогТаблицы"</t>
  </si>
  <si>
    <t>Нераспределенная прибыль (лист Баланс)</t>
  </si>
  <si>
    <t>Чистая прибыль/убыток нарастающим итогом (лист БДР)</t>
  </si>
  <si>
    <t>Оплата труда основн.произв. персонала с соц.взносами (лист БДР)</t>
  </si>
  <si>
    <t>Оплата труда адм.-управл. персонала с соц.взносами (лист БДР)</t>
  </si>
  <si>
    <t>Оплата труда с соц.взносами по  льготному тарифу (лист Персонал)</t>
  </si>
  <si>
    <t>Начисление % (лист Финансы)</t>
  </si>
  <si>
    <t>Всего адм.хоз.расходы без НДС (лист АдмРасходы)</t>
  </si>
  <si>
    <t>Прочие доходы (лист БДР)</t>
  </si>
  <si>
    <t>Прочие административные расходы (лист БДР)</t>
  </si>
  <si>
    <t>Прочие расходы (лист БДР)</t>
  </si>
  <si>
    <t>Всего прочие доходы (лист ПрочДоходы)</t>
  </si>
  <si>
    <t>Всего прочие расходы (лист ПрочРасходы)</t>
  </si>
  <si>
    <t>Оплата процентов по кредитам и займам (лист БДДС)</t>
  </si>
  <si>
    <t>Проценты к уплате (лист БДР)</t>
  </si>
  <si>
    <t>Налог на землю с льготой (лист БДР)</t>
  </si>
  <si>
    <t>Налог на имущество с льготой (лист БДР)</t>
  </si>
  <si>
    <t>Плата за землю</t>
  </si>
  <si>
    <t>Налог на имущество к начисл. по льготной ставке (лист НалИмущество)</t>
  </si>
  <si>
    <t>Налог на прибыль с льготой (лист БДР)</t>
  </si>
  <si>
    <t>Налог на прибыль к начисл (лист НалПрибыль)</t>
  </si>
  <si>
    <t>Поступления от продаж (лист БДДС)</t>
  </si>
  <si>
    <t>Выручка с НДС (лист Выручка)</t>
  </si>
  <si>
    <t>Поступления от прочих доходов (лист БДДС)</t>
  </si>
  <si>
    <t>Оплата проч.расходов (лист БДДС)</t>
  </si>
  <si>
    <t>Уплата земельного налога  с льготой (лист БДДС)</t>
  </si>
  <si>
    <t>Уплата налога на имущество с льготой (лист БДДС)</t>
  </si>
  <si>
    <t>Уплата налога на прибыль  с льготой (лист БДДС)</t>
  </si>
  <si>
    <t>Оплата сырья и материалов (лист БДДС)</t>
  </si>
  <si>
    <t>Стоимость сырья с НДС (лист Себестоимость)</t>
  </si>
  <si>
    <t>Оплата ресурсов (лист БДДС)</t>
  </si>
  <si>
    <t>Стоимость ресурсов с НДС (лист Ресурсы)</t>
  </si>
  <si>
    <t>Адм.-хозяйственные расходы (лист БДДС)</t>
  </si>
  <si>
    <t>Платежи по адм.хоз. расходам с НДС (лист АдмРасходы)</t>
  </si>
  <si>
    <t>Общепроизвод. Расходы (лист БДДС)</t>
  </si>
  <si>
    <t>Платежи по общепроизводственные расходы с НДС (лист ОбщПрРасходы)</t>
  </si>
  <si>
    <t>Общепроизводственные расходы (лист БДР)</t>
  </si>
  <si>
    <t>Всего общепроизводственные расходы без НДС (лист ОбщПрРасходы)</t>
  </si>
  <si>
    <t>Уплата НДС по опер.деят-ти (лист БДДС)</t>
  </si>
  <si>
    <t>НДС начисл.к уплате в бюджет (лист НДС)</t>
  </si>
  <si>
    <t>Возмещение НДС по инвест.деят-ти (лист БДДС)</t>
  </si>
  <si>
    <t>НДС за период инвест деят-ть (лист Инвестиции)</t>
  </si>
  <si>
    <t>капитальные вложения (лист БДДС)</t>
  </si>
  <si>
    <t>Платежи за период с НДС (лист Инвестиции)</t>
  </si>
  <si>
    <t>Взнос в УК или складочный капитал (лист БДДС)</t>
  </si>
  <si>
    <t>Взносы в Уставный (складочный) капитал или иные взносы участников всего (лист Финансы)</t>
  </si>
  <si>
    <t>Кредиты и займы полученные (лист БДДС)</t>
  </si>
  <si>
    <t>Привлечение кредита/займа (лист Финансы)</t>
  </si>
  <si>
    <t>Возврат кредитов и займов (лист БДДС)</t>
  </si>
  <si>
    <t>Погашение кредита/займа (лист Финансы)</t>
  </si>
  <si>
    <t>Контроль и сверка</t>
  </si>
  <si>
    <t>Чистый денежный поток по опер. деят-ти (лист Чувствительность)</t>
  </si>
  <si>
    <t>Чистый денежный поток по опер. деят-ти (лист БДДС)</t>
  </si>
  <si>
    <t>Чистый денежный поток по фин. деят-ти (лист Чувствительность)</t>
  </si>
  <si>
    <t>Чистый денежный поток по фин. деят-ти (лист БДДС)</t>
  </si>
  <si>
    <t>Чистый денежный поток по инвест. деят-ти (лист Чувствительность)</t>
  </si>
  <si>
    <t>Чистый денежный поток по инвест. деят-ти (лист БДДС)</t>
  </si>
  <si>
    <t>&lt;добавить приформировании вводных стресс-теста&gt;</t>
  </si>
  <si>
    <t>руб.за кВт/час</t>
  </si>
  <si>
    <t>тыс.кВт/час</t>
  </si>
  <si>
    <t>Ставки с листа "Макро"</t>
  </si>
  <si>
    <t>Ставки изм. на заданную величину</t>
  </si>
  <si>
    <t>разн.</t>
  </si>
  <si>
    <t>Дефицит(-)/профицит(+)</t>
  </si>
  <si>
    <t>Подтвержденные лимит</t>
  </si>
  <si>
    <t>Свободный денежный поток</t>
  </si>
  <si>
    <t>Свободный денежный поток нарастающим итогом</t>
  </si>
  <si>
    <t>Объект 1 - недвижимость (база для расчета налога на имущество)</t>
  </si>
  <si>
    <t>тыс. м3/сут.</t>
  </si>
  <si>
    <t>Вода (тыс. м3/сут.)</t>
  </si>
  <si>
    <t>Газ (тыс. м3/сут.)</t>
  </si>
  <si>
    <t>руб. за гигакал/ч</t>
  </si>
  <si>
    <t>гигакал/ч</t>
  </si>
  <si>
    <t>мегавт</t>
  </si>
  <si>
    <t>руб. за мегавт</t>
  </si>
  <si>
    <t>тыс.мегавтчас</t>
  </si>
  <si>
    <t>DCF (чистая приведенная стоимость), млн.рублей</t>
  </si>
  <si>
    <t>DCF с листа КПЭ</t>
  </si>
  <si>
    <t>DCF</t>
  </si>
  <si>
    <t>DCF (ставка дисконт.15%) млн.₽:</t>
  </si>
  <si>
    <t>Дашборд. Графики из данных листа "ИтогТаблицы"</t>
  </si>
  <si>
    <t>Дашборд. Основные графики: БДР, БДДС, Баланс, Инвестиции, Финансирование</t>
  </si>
  <si>
    <r>
      <t xml:space="preserve">Налог на имущество </t>
    </r>
    <r>
      <rPr>
        <b/>
        <sz val="11"/>
        <color theme="1"/>
        <rFont val="Times New Roman"/>
        <family val="1"/>
        <charset val="204"/>
      </rPr>
      <t>льгота</t>
    </r>
  </si>
  <si>
    <r>
      <t xml:space="preserve">Ставка Налога на землю </t>
    </r>
    <r>
      <rPr>
        <b/>
        <sz val="11"/>
        <color theme="1"/>
        <rFont val="Times New Roman"/>
        <family val="1"/>
        <charset val="204"/>
      </rPr>
      <t>льгота</t>
    </r>
  </si>
  <si>
    <r>
      <rPr>
        <b/>
        <sz val="11"/>
        <color theme="1"/>
        <rFont val="Times New Roman"/>
        <family val="1"/>
        <charset val="204"/>
      </rPr>
      <t>Льготный</t>
    </r>
    <r>
      <rPr>
        <sz val="11"/>
        <color theme="1"/>
        <rFont val="Times New Roman"/>
        <family val="1"/>
        <charset val="204"/>
      </rPr>
      <t xml:space="preserve"> пониженный тариф соц.взносов 7,6%</t>
    </r>
  </si>
  <si>
    <r>
      <t xml:space="preserve">CF от </t>
    </r>
    <r>
      <rPr>
        <b/>
        <sz val="11"/>
        <color theme="0" tint="-0.34998626667073579"/>
        <rFont val="Times New Roman"/>
        <family val="1"/>
        <charset val="204"/>
      </rPr>
      <t>операционной</t>
    </r>
    <r>
      <rPr>
        <sz val="11"/>
        <color theme="0" tint="-0.34998626667073579"/>
        <rFont val="Times New Roman"/>
        <family val="1"/>
        <charset val="204"/>
      </rPr>
      <t xml:space="preserve"> деят-ти</t>
    </r>
  </si>
  <si>
    <r>
      <t xml:space="preserve">CF от </t>
    </r>
    <r>
      <rPr>
        <b/>
        <sz val="11"/>
        <color theme="0" tint="-0.34998626667073579"/>
        <rFont val="Times New Roman"/>
        <family val="1"/>
        <charset val="204"/>
      </rPr>
      <t>инвестиционной</t>
    </r>
    <r>
      <rPr>
        <sz val="11"/>
        <color theme="0" tint="-0.34998626667073579"/>
        <rFont val="Times New Roman"/>
        <family val="1"/>
        <charset val="204"/>
      </rPr>
      <t xml:space="preserve"> деят-ти</t>
    </r>
  </si>
  <si>
    <r>
      <t xml:space="preserve">Ставка дисконтирования (+ / - </t>
    </r>
    <r>
      <rPr>
        <u/>
        <sz val="11"/>
        <rFont val="Times New Roman"/>
        <family val="1"/>
        <charset val="204"/>
      </rPr>
      <t>изменения в процентных пунктах от ставки WACC</t>
    </r>
    <r>
      <rPr>
        <sz val="11"/>
        <rFont val="Times New Roman"/>
        <family val="1"/>
        <charset val="204"/>
      </rPr>
      <t>):</t>
    </r>
  </si>
  <si>
    <r>
      <t xml:space="preserve">Ставка по кредиту (+ / - </t>
    </r>
    <r>
      <rPr>
        <u/>
        <sz val="11"/>
        <rFont val="Times New Roman"/>
        <family val="1"/>
        <charset val="204"/>
      </rPr>
      <t>изменения в процентных пунктах от ставки по кредиту</t>
    </r>
    <r>
      <rPr>
        <sz val="11"/>
        <rFont val="Times New Roman"/>
        <family val="1"/>
        <charset val="204"/>
      </rPr>
      <t>):</t>
    </r>
  </si>
  <si>
    <r>
      <t xml:space="preserve">CF от </t>
    </r>
    <r>
      <rPr>
        <b/>
        <sz val="11"/>
        <color theme="1"/>
        <rFont val="Times New Roman"/>
        <family val="1"/>
        <charset val="204"/>
      </rPr>
      <t>операционной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</si>
  <si>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r>
      <t xml:space="preserve">CF от </t>
    </r>
    <r>
      <rPr>
        <b/>
        <sz val="11"/>
        <color theme="1"/>
        <rFont val="Times New Roman"/>
        <family val="1"/>
        <charset val="204"/>
      </rPr>
      <t>инвестиционной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</si>
  <si>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r>
      <t xml:space="preserve">Чистый денежный поток по </t>
    </r>
    <r>
      <rPr>
        <b/>
        <sz val="11"/>
        <color theme="1"/>
        <rFont val="Times New Roman"/>
        <family val="1"/>
        <charset val="204"/>
      </rPr>
      <t>операционной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</si>
  <si>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r>
      <t xml:space="preserve">Чистый денежный поток по </t>
    </r>
    <r>
      <rPr>
        <b/>
        <sz val="11"/>
        <color theme="1"/>
        <rFont val="Times New Roman"/>
        <family val="1"/>
        <charset val="204"/>
      </rPr>
      <t>инвестиционной</t>
    </r>
    <r>
      <rPr>
        <sz val="11"/>
        <color theme="1"/>
        <rFont val="Times New Roman"/>
        <family val="1"/>
        <charset val="204"/>
      </rPr>
      <t xml:space="preserve"> деят-ти</t>
    </r>
  </si>
  <si>
    <t xml:space="preserve">проверить </t>
  </si>
  <si>
    <t>Паспорт инвестиционного проекта</t>
  </si>
  <si>
    <t>наименование инвестиционного проекта</t>
  </si>
  <si>
    <t>(далее - заявитель инвестиционного проекта, ОЭЗ соответственно)</t>
  </si>
  <si>
    <t>Полное или сокращенное (при наличии) наименование заявителя инвестиционного проекта - юридического лица либо фамилия, имя, отчество (при наличии) заявителя инвестиционного проекта - индивидуального предпринимателя</t>
  </si>
  <si>
    <t>Идентификационный номер налогоплательщика</t>
  </si>
  <si>
    <t>Дата регистрации заявителя инвестиционного проекта в качестве юридического лица (индивидуального предпринимателя), наименование регистрирующего органа</t>
  </si>
  <si>
    <t>Информация о структуре уставного капитала заявителя инвестиционного проекта - юридического лица (перечень учредителей (участников, акционеров) с указанием размера долей их участия и государства, резидентом которого является каждый учредитель (участник, акционер) (при наличии), конечных выгодоприобретателях</t>
  </si>
  <si>
    <t>Адрес в пределах места нахождения (в отношении юридического лица), адрес регистрации по месту жительства (в отношении индивидуального предпринимателя)</t>
  </si>
  <si>
    <t>Фамилия, имя, отчество (при наличии) уполномоченного представителя заявителя инвестиционного проекта (при наличии)</t>
  </si>
  <si>
    <t>Должность уполномоченного представителя заявителя инвестиционного проекта (при наличии)</t>
  </si>
  <si>
    <t>Адрес электронной почты (при наличии)</t>
  </si>
  <si>
    <t>Телефон</t>
  </si>
  <si>
    <t>Фамилия, имя, отчество (при наличии) ответственного исполнителя по инвестиционному проекту</t>
  </si>
  <si>
    <t>Должность ответственного исполнителя по инвестиционному проекту (при наличии)</t>
  </si>
  <si>
    <t>II. Общие сведения об инвестиционном проекте</t>
  </si>
  <si>
    <t>Наименование инвестиционного проекта</t>
  </si>
  <si>
    <t>Краткое описание инвестиционного проекта</t>
  </si>
  <si>
    <t>Сфера деятельности инвестиционного проекта</t>
  </si>
  <si>
    <t>Предполагаемые виды деятельности заявителя инвестиционного проекта в соответствии с Общероссийским классификатором видов экономической деятельности</t>
  </si>
  <si>
    <t>Основные виды предполагаемых к производству (выполнению, оказанию) товаров (работ, услуг) с информацией об их уникальности и значимости для достижения целей создания ОЭЗ (при наличии)</t>
  </si>
  <si>
    <t>Соответствие установленным постановлением Правительства Российской Федерации от 15 апреля 2023 г. N 603 "Об утверждении приоритетных направлений проектов технологического суверенитета и проектов структурной адаптации экономики Российской Федерации и Положения об условиях отнесения проектов к проектам технологического суверенитета и проектам структурной адаптации экономики Российской Федерации, о представлении сведений о проектах технологического суверенитета и проектах структурной адаптации экономики Российской Федерации и ведении реестра указанных проектов, а также о требованиях к организациям, уполномоченным представлять заключения о соответствии проектов требованиям к проектам технологического суверенитета и проектам структурной адаптации экономики Российской Федерации" приоритетным направлениям государственной политики Российской Федерации по развитию инвестиционной деятельности в Российской Федерации и привлечению внебюджетных средств в проекты, связанные с достижением технологического суверенитета и структурной адаптацией экономики Российской Федерации</t>
  </si>
  <si>
    <t>Плановая проектная мощность инвестиционного проекта</t>
  </si>
  <si>
    <t>в том числе по этапам (при наличии)</t>
  </si>
  <si>
    <t>Уровень локализации производства продукции, предусмотренной инвестиционным проектом, на территории Российской Федерации и использования отечественного сырья, материалов и комплектующих (при наличии)</t>
  </si>
  <si>
    <t>Планируемый срок реализации инвестиционного проекта</t>
  </si>
  <si>
    <t>Дата начала финансирования инвестиционного проекта</t>
  </si>
  <si>
    <t>Планируемая дата окончания инвестиционной фазы инвестиционного проекта</t>
  </si>
  <si>
    <t>Планируемая дата выхода инвестиционного проекта на проектную мощность</t>
  </si>
  <si>
    <t>III. Территория реализации инвестиционного проекта</t>
  </si>
  <si>
    <t>Субъект Российской Федерации</t>
  </si>
  <si>
    <t>Муниципальное образование</t>
  </si>
  <si>
    <t>Реквизиты постановления Правительства Российской Федерации, которым оформлено решение о создании ОЭЗ &lt;1&gt;</t>
  </si>
  <si>
    <t>Наименование инвестиционной площадки ОЭЗ (при наличии)</t>
  </si>
  <si>
    <t>IV. Инфраструктурные потребности инвестиционного проекта</t>
  </si>
  <si>
    <t>Электроснабжение, МВт</t>
  </si>
  <si>
    <t>Теплоснабжение, Гкал/ч</t>
  </si>
  <si>
    <t>Необходимость предоставления для реализации инвестиционного проекта земельных участков, помещений либо готовых производственных площадей (с указанием их площади &lt;2&gt; и кадастровых номеров)</t>
  </si>
  <si>
    <t>V. Основные показатели инвестиционного проекта</t>
  </si>
  <si>
    <t>Заявленный объем инвестиций, в том числе капитальных вложений (без учета налога на добавленную стоимость), млн рублей</t>
  </si>
  <si>
    <t>в том числе на конец 3-го года реализации инвестиционного проекта</t>
  </si>
  <si>
    <t>в том числе за счет собственных источников финансирования (с указанием источников)</t>
  </si>
  <si>
    <t>в том числе за счет иных источников финансирования (с указанием источников и условий привлечения финансирования)</t>
  </si>
  <si>
    <t>Заявленное к созданию количество рабочих мест, ед.</t>
  </si>
  <si>
    <t>Ожидаемые налоговые поступления в бюджеты бюджетной системы Российской Федерации, млн рублей</t>
  </si>
  <si>
    <t>в том числе в федеральный бюджет</t>
  </si>
  <si>
    <t>в том числе в бюджет субъекта Российской Федерации</t>
  </si>
  <si>
    <t>в том числе в местный бюджет</t>
  </si>
  <si>
    <t>Ожидаемый объем льгот к использованию, млн рублей</t>
  </si>
  <si>
    <t>Иная дополнительная информация об инвестиционном проекте в зависимости от его отраслевой специфики (при наличии)</t>
  </si>
  <si>
    <t>VI. Основные финансово-экономические показатели инвестиционного проекта</t>
  </si>
  <si>
    <t>Внутренняя норма доходности, %</t>
  </si>
  <si>
    <t>без ОЭЗ</t>
  </si>
  <si>
    <t>с ОЭЗ</t>
  </si>
  <si>
    <t>Чистая приведенная стоимость инвестиционного проекта, млн рублей</t>
  </si>
  <si>
    <t>Простой срок окупаемости инвестиционного проекта, лет</t>
  </si>
  <si>
    <t>Дисконтированный срок окупаемости инвестиционного проекта, лет</t>
  </si>
  <si>
    <t>Прибыль до вычета процентов и налогов, млн рублей</t>
  </si>
  <si>
    <t>Прибыль до вычета процентов, налогов, износа и амортизации, млн рублей</t>
  </si>
  <si>
    <t>Индекс прибыльности, %</t>
  </si>
  <si>
    <t>Приложение N 1
к приказу Минэкономразвития России
от 1 апреля 2024 г. N 189</t>
  </si>
  <si>
    <r>
      <t>Газоснабжение,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/ч</t>
    </r>
  </si>
  <si>
    <r>
      <t>Водоснабжение,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/ч</t>
    </r>
  </si>
  <si>
    <r>
      <t>Водоотведение, м</t>
    </r>
    <r>
      <rPr>
        <vertAlign val="superscript"/>
        <sz val="14"/>
        <color theme="1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>/ч</t>
    </r>
  </si>
  <si>
    <t>770101001001</t>
  </si>
  <si>
    <t>I. Лицо, намеревающееся получить статус резидента особой экономической зоны</t>
  </si>
  <si>
    <t>Иванов Иван Иванович</t>
  </si>
  <si>
    <t>генеральный директор</t>
  </si>
  <si>
    <t>email@mail.ru</t>
  </si>
  <si>
    <t>+7 916 123 45 67</t>
  </si>
  <si>
    <t>Петров Пётр Иванович</t>
  </si>
  <si>
    <t>зам.ген.директора</t>
  </si>
  <si>
    <t>email_2@mail.ru</t>
  </si>
  <si>
    <t>+7 916 765 43 21</t>
  </si>
  <si>
    <t>Документы, подтверждающие наличие собственных средств, и (или) средств учредителей (участников), и (или) средств соинвесторов для реализации инвестиционного проекта, и (или) документального подтверждения со стороны кредитной организации о готовности предоставить финансирование для реализации инвестиционного проекта (при наличии).</t>
  </si>
  <si>
    <t>Документы о проработке возможных вариантов обеспечения инвестиционного проекта необходимыми инфраструктурой, сырьем, оборудованием, каналами (рынками) сбыта соответствующей продукции (услуг) (при наличии).</t>
  </si>
  <si>
    <t>Копии учредительных документов (для юридических лиц) (при наличии).</t>
  </si>
  <si>
    <t>Копия свидетельства о государственной регистрации юридического лица или индивидуального предпринимателя и копия свидетельства о постановке на учет в налоговом органе (при наличии).</t>
  </si>
  <si>
    <t>Иные документы и пояснительные материалы, представленные заявителем инвестиционного проекта по собственной инициативе (при наличии).</t>
  </si>
  <si>
    <t>(подпись руководителя юридического лица - заявителя инвестиционного проекта, индивидуального предпринимателя - заявителя инвестиционного проекта)</t>
  </si>
  <si>
    <t>I. Исходные данные</t>
  </si>
  <si>
    <t>Макроэкономические данные</t>
  </si>
  <si>
    <t>Обязательные платежи</t>
  </si>
  <si>
    <t>Предпосылки по учетной политике (при наличии)</t>
  </si>
  <si>
    <t>Особенности расчетов с контрагентами (при наличии)</t>
  </si>
  <si>
    <t>Ставка дисконтирования и метод ее расчета с обоснованием компонентов и ссылками на источники (при наличии)</t>
  </si>
  <si>
    <t>II. Базовые прогнозные расчеты</t>
  </si>
  <si>
    <t>Детализация основных направлений расходов (постоянных и переменных) в рамках реализации инвестиционного проекта</t>
  </si>
  <si>
    <t>в том числе прогноз объемов затрат, связанных с персоналом (с моделированием штатной структуры и численности)</t>
  </si>
  <si>
    <t>в том числе прогноз объемов затрат, связанных с потреблением инфраструктурных мощностей (с указанием видов инфраструктуры)</t>
  </si>
  <si>
    <t>в том числе прогноз объемов затрат инвестиционного характера (с указанием направлений расходования средств)</t>
  </si>
  <si>
    <t>Детализация источников финансирования инвестиционного проекта за счет собственных и внешних (заемных) средств (с указанием основных условий привлечения средств)</t>
  </si>
  <si>
    <t>Детализация основных направлений доходов (постоянных и переменных) в рамках реализации инвестиционного проекта</t>
  </si>
  <si>
    <t>в том числе прогноз выручки (с указанием структуры и источников ее формирования)</t>
  </si>
  <si>
    <t>Иные базовые прогнозные расчеты (при наличии)</t>
  </si>
  <si>
    <t>III. Финансово-экономические показатели</t>
  </si>
  <si>
    <t>Прогнозный баланс</t>
  </si>
  <si>
    <t>Прогнозный отчет о финансовых результатах</t>
  </si>
  <si>
    <t>Прогнозный отчет о движении денежных средств</t>
  </si>
  <si>
    <t>IV. Бюджетная эффективность</t>
  </si>
  <si>
    <t>Налоги (по уровням бюджетов бюджетной системы Российской Федерации и по видам платежей)</t>
  </si>
  <si>
    <t>Таможенные платежи</t>
  </si>
  <si>
    <t>Налоговые льготы (по уровням бюджетов бюджетной системы Российской Федерации и по видам платежей)</t>
  </si>
  <si>
    <t>Таможенные льготы</t>
  </si>
  <si>
    <t>Льготы по тарифам страховых взносов</t>
  </si>
  <si>
    <t>V. Финансово-экономическая эффективность</t>
  </si>
  <si>
    <t>Внутренняя норма доходности</t>
  </si>
  <si>
    <t>Чистая приведенная стоимость</t>
  </si>
  <si>
    <t>Простой срок окупаемости</t>
  </si>
  <si>
    <t>Дисконтированный срок окупаемости</t>
  </si>
  <si>
    <t>Индекс прибыльности инвестиций</t>
  </si>
  <si>
    <t>Приложение N 2
к приказу Минэкономразвития России
от 1 апреля 2024 г. N 189</t>
  </si>
  <si>
    <t>Финансовая модель инвестиционного проекта</t>
  </si>
  <si>
    <t>Иные расчеты, характеризующие бюджетную эффективность инвестиционного проекта (при наличии)</t>
  </si>
  <si>
    <t>Иные пояснения, исходные данные и предпосылки к финансовой модели инвестиционного проекта (при наличии)</t>
  </si>
  <si>
    <t>Приложение N 4
к приказу Минэкономразвития России
от 1 апреля 2024 г. N 189</t>
  </si>
  <si>
    <t>Приложение N 3
к приказу Минэкономразвития России
от 1 апреля 2024 г. N 189</t>
  </si>
  <si>
    <t>1. Для оценки паспорта инвестиционного проекта (далее - паспорт) применяются следующие критерии:</t>
  </si>
  <si>
    <t>1.1. Соответствие цели инвестиционного проекта целям создания особых экономических зон (далее - ОЭЗ), а также перспективному плану развития ОЭЗ.</t>
  </si>
  <si>
    <t>1.2. Степень финансовой устойчивости инвестиционного проекта.</t>
  </si>
  <si>
    <t>1.3. Наличие положительного решения (одобрения заключения кредитного договора) кредитного комитета банка в случае привлечения кредитного финансирования для реализации инвестиционного проекта согласно паспорту.</t>
  </si>
  <si>
    <t>1.4. Дисконтированный срок окупаемости инвестиционного проекта.</t>
  </si>
  <si>
    <t>1.5. Наличие необходимой для обеспечения деятельности лица, намеревающегося получить статус резидента особой экономической зоны (далее - заявитель инвестиционного проекта), предусмотренной паспортом, инженерной, коммунальной, транспортной и иной инфраструктуры ОЭЗ в соответствии с существующей и прогнозной загрузкой мощностей.</t>
  </si>
  <si>
    <t>1.6. Уровень проработки маркетинговой стратегии, включая анализ каналов (рынков) сбыта, сбыта (рынков) продукции (услуг), предусмотренных паспортом, а также поставки оборудования, необходимого для реализации инвестиционного проекта.</t>
  </si>
  <si>
    <t>1.7. Наличие успешного опыта реализации заявителем инвестиционного проекта (учредителями, бенефициарами) проектов в сфере деятельности, предусмотренной паспортом (в том числе с указанием их количества и объемов осуществленных инвестиций).</t>
  </si>
  <si>
    <t>1.8. Уровень локализации производства продукции, предусмотренной паспортом, на территории Российской Федерации и использования отечественного сырья, материалов и комплектующих (для инвестиционных проектов, предусматривающих осуществление промышленно-производственной деятельности).</t>
  </si>
  <si>
    <t>2. Для оценки финансовой модели инвестиционного проекта (далее - финансовая модель) применяются следующие критерии:</t>
  </si>
  <si>
    <t>2.1. Полнота финансовой модели.</t>
  </si>
  <si>
    <t>2.2. Математическая корректность финансовой модели.</t>
  </si>
  <si>
    <t>2.3. Общая логика построения финансовой модели</t>
  </si>
  <si>
    <t>Выполнено критериев:</t>
  </si>
  <si>
    <t>Всего критериев:</t>
  </si>
  <si>
    <t>Баллы</t>
  </si>
  <si>
    <t>3) в иных случаях паспорту баллы не присваиваются.</t>
  </si>
  <si>
    <t>2) в иных случаях паспорту баллы не присваиваются.</t>
  </si>
  <si>
    <t>3) в иных случаях паспорту баллы не присваиваются</t>
  </si>
  <si>
    <t xml:space="preserve">1) при приложении к паспорту документов и материалов, содержащих анализ каналов (рынков) сбыта, сбыта (рынков) соответствующей продукции (услуг), предусмотренных </t>
  </si>
  <si>
    <t>2) в иных случаях финансовой модели баллы не присваиваются.</t>
  </si>
  <si>
    <t>Результаты оценки паспорта и финансовой модели учитываются при принятии решения о заключении органами управления ОЭЗ с заявителем инвестиционного проекта соглашения об осуществлении промышленно-производственной, технико-внедренческой, туристско-рекреационной деятельности и (или) об осуществлении деятельности в портовой ОЭЗ.</t>
  </si>
  <si>
    <r>
      <t xml:space="preserve">1) в случае соответствия инвестиционного проекта целям создания особой экономической зоны (далее - ОЭЗ) и перспективному плану развития ОЭЗ паспорту присваивается </t>
    </r>
    <r>
      <rPr>
        <b/>
        <sz val="14"/>
        <color theme="1"/>
        <rFont val="Times New Roman"/>
        <family val="1"/>
        <charset val="204"/>
      </rPr>
      <t>10 (десять) баллов</t>
    </r>
    <r>
      <rPr>
        <sz val="14"/>
        <color theme="1"/>
        <rFont val="Times New Roman"/>
        <family val="1"/>
        <charset val="204"/>
      </rPr>
      <t>;</t>
    </r>
  </si>
  <si>
    <r>
      <t xml:space="preserve">2) в случае несоответствия инвестиционного проекта перспективному плану развития ОЭЗ, но его соответствия целям создания ОЭЗ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>;</t>
    </r>
  </si>
  <si>
    <r>
      <t xml:space="preserve">1) паспорту, предусматривающему финансирование инвестиционного проекта за счет собственных средств или средств учредителей лица, намеревающегося получить статус резидента особой экономической зоны (далее - заявитель инвестиционного проекта) (с представлением подтверждающих документов), в полном объеме, присваивается </t>
    </r>
    <r>
      <rPr>
        <b/>
        <sz val="14"/>
        <color theme="1"/>
        <rFont val="Times New Roman"/>
        <family val="1"/>
        <charset val="204"/>
      </rPr>
      <t>3 (три) балла;</t>
    </r>
  </si>
  <si>
    <r>
      <t xml:space="preserve">2) паспорту, предусматривающему привлечение заемных средств, при наличии документов, представленных предполагаемым займодавцем и подтверждающих сроки, порядок и объемы предоставляемых денежных средств, в том числе процентные ставки за пользование заемными средствами, присваивается </t>
    </r>
    <r>
      <rPr>
        <b/>
        <sz val="14"/>
        <color theme="1"/>
        <rFont val="Times New Roman"/>
        <family val="1"/>
        <charset val="204"/>
      </rPr>
      <t>2 (два)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</si>
  <si>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1) в случае если предусмотренный паспортом дисконтированный срок окупаемости инвестиционного проекта не превышает 5 (пять) лет, паспорту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</si>
  <si>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1) при наличии положительного решения (одобрения заключения кредитного договора) кредитного комитета банка в случае привлечения кредитного финансирования для реализации инвестиционного проекта паспорту присваивается </t>
    </r>
    <r>
      <rPr>
        <b/>
        <sz val="14"/>
        <color theme="1"/>
        <rFont val="Times New Roman"/>
        <family val="1"/>
        <charset val="204"/>
      </rPr>
      <t>2 (два)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</si>
  <si>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2) в случае если предусмотренный паспортом дисконтированный срок окупаемости инвестиционного проекта составляет от 5 (пяти) до 15 (пятнадцати) лет,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>;</t>
    </r>
  </si>
  <si>
    <r>
      <t xml:space="preserve">1) при наличии на день представления паспорта необходимой для обеспечения деятельности заявителя инвестиционного проекта инфраструктуры ОЭЗ паспорту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</si>
  <si>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r>
      <t>2) в случае отсутствия на день представления паспорта необходимой для обеспечения деятельности заявителя инвестиционного проекта инфраструктуры ОЭЗ при условии, что необходимые для реализации инвестиционного проекта инфраструктурные объекты планируются к строительству в рамках перспективного плана развития ОЭЗ либо на основании предоставленных заявителем инвестиционного проекта подтверждающих документов и материалов, паспорту присваивается</t>
    </r>
    <r>
      <rPr>
        <b/>
        <sz val="14"/>
        <color theme="1"/>
        <rFont val="Times New Roman"/>
        <family val="1"/>
        <charset val="204"/>
      </rPr>
      <t xml:space="preserve"> 2 (два) балла;</t>
    </r>
  </si>
  <si>
    <r>
      <rPr>
        <b/>
        <sz val="14"/>
        <color theme="1"/>
        <rFont val="Times New Roman"/>
        <family val="1"/>
        <charset val="204"/>
      </rPr>
      <t>За каждый</t>
    </r>
    <r>
      <rPr>
        <sz val="14"/>
        <color theme="1"/>
        <rFont val="Times New Roman"/>
        <family val="1"/>
        <charset val="204"/>
      </rPr>
      <t xml:space="preserve"> успешно выполненный инвестиционный проект в предусмотренной паспортом сфере деятельности с аналогичным или большим объемом инвестиций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>. При этом по рассматриваемому критерию паспорту не может быть присвоено более 2 (двух) баллов.</t>
    </r>
  </si>
  <si>
    <r>
      <t xml:space="preserve">1) в случае если коэффициент локализации производства продукции и использования отечественного сырья, материалов и комплектующих варьируется в пределах от 100% до 60%, паспорту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</si>
  <si>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2) в случае если коэффициент локализации производства продукции и использования отечественного сырья, материалов и комплектующих варьируется в пределах от 59% до 30% или производство продукции не предусмотрено паспортом, паспорту присваивается </t>
    </r>
    <r>
      <rPr>
        <b/>
        <sz val="14"/>
        <color theme="1"/>
        <rFont val="Times New Roman"/>
        <family val="1"/>
        <charset val="204"/>
      </rPr>
      <t>2 (два) балла</t>
    </r>
    <r>
      <rPr>
        <sz val="14"/>
        <color theme="1"/>
        <rFont val="Times New Roman"/>
        <family val="1"/>
        <charset val="204"/>
      </rPr>
      <t>;</t>
    </r>
  </si>
  <si>
    <r>
      <t xml:space="preserve">1) в случае если в финансовой модели имеются все исходные данные финансовой модели, расчетов, обязательных атрибутов (разделов), подтверждено наличие достаточности для проведения этапов оценки финансовой модели, включая наличие сценариев реализации инвестиционного проекта без учета ОЭЗ и с учетом ОЭЗ, финансовой модели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</si>
  <si>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t>Бюджет доходов и расходов с учетом льгот - Прогнозный отчет о финансовых результатах</t>
  </si>
  <si>
    <t>Бюджет движения денежных средств с учетом льгот - Прогнозный отчет о движении денежных средств</t>
  </si>
  <si>
    <t>перечень</t>
  </si>
  <si>
    <t>КРИТЕРИИ
ОЦЕНКИ ПАСПОРТА ИНВЕСТИЦИОННОГО ПРОЕКТА И ФИНАНСОВОЙ МОДЕЛИ ИНВЕСТИЦИОННОГО ПРОЕКТА</t>
  </si>
  <si>
    <t>МЕТОДИКА
ОЦЕНКИ ПАСПОРТА ИНВЕСТИЦИОННОГО ПРОЕКТА И ФИНАНСОВОЙ МОДЕЛИ ИНВЕСТИЦИОННОГО ПРОЕКТА</t>
  </si>
  <si>
    <t>Справочно: минимально допустимое значение для положительной оценки паспорта инвестиционного проекта</t>
  </si>
  <si>
    <t>Оценка Паспорта инвестиционного проекта</t>
  </si>
  <si>
    <t>Оценка паспорта по критерию, предусмотренному подпунктом 1.1 пункта 1 Критериев, осуществляется следующим образом:</t>
  </si>
  <si>
    <t>Оценка паспорта по критерию, предусмотренному подпунктом 1.2 пункта 1 Критериев, осуществляется следующим образом:</t>
  </si>
  <si>
    <t>Оценка паспорта по критерию, предусмотренному подпунктом 1.3 пункта 1 Критериев, осуществляется следующим образом:</t>
  </si>
  <si>
    <t>Оценка паспорта по критерию, предусмотренному подпунктом 1.4 пункта 1 Критериев, осуществляется следующим образом:</t>
  </si>
  <si>
    <t>Оценка паспорта по критерию, предусмотренному подпунктом 1.5 пункта 1 Критериев, осуществляется следующим образом:</t>
  </si>
  <si>
    <t>Оценка паспорта по критерию, предусмотренному подпунктом 1.6 пункта 1 Критериев, осуществляется следующим образом:</t>
  </si>
  <si>
    <t>Оценка паспорта по критерию, предусмотренному подпунктом 1.8 пункта 1 Критериев, осуществляется следующим образом:</t>
  </si>
  <si>
    <r>
      <t xml:space="preserve">3) в случае если коэффициент локализации производства продукции и использования отечественного сырья, материалов и комплектующих ниже 29%, паспорту присваивается </t>
    </r>
    <r>
      <rPr>
        <b/>
        <sz val="14"/>
        <color theme="1"/>
        <rFont val="Times New Roman"/>
        <family val="1"/>
        <charset val="204"/>
      </rPr>
      <t>1 (один) балл</t>
    </r>
    <r>
      <rPr>
        <sz val="14"/>
        <color theme="1"/>
        <rFont val="Times New Roman"/>
        <family val="1"/>
        <charset val="204"/>
      </rPr>
      <t xml:space="preserve">. 
</t>
    </r>
    <r>
      <rPr>
        <i/>
        <sz val="12"/>
        <color theme="1"/>
        <rFont val="Times New Roman"/>
        <family val="1"/>
        <charset val="204"/>
      </rPr>
      <t>Коэффициент локализации производства продукции и использования отечественного сырья, материалов и комплектующих (Кл) применяется для инвестиционных проектов в промышленно-производственной деятельности и рассчитывается по формуле: 
Кл = (С -Кин - Мин - Уин) / С *100%
С - себестоимость, рассчитываемая как сумма затрат на комплектующие изделия, материалы и сырье российского и иностранного происхождения, услуги сторонних российских и иностранных организаций, заработную плату и прочие затраты;
Кин - затраты на комплектующие изделия иностранного происхождения;
Мин - затраты на материалы и сырье иностранного происхождения;
Уин - затраты на услуги иностранных организаций.</t>
    </r>
  </si>
  <si>
    <t>Оценка паспорта по критерию, предусмотренному подпунктом 1.7 пункта 1 Критериев, осуществляется следующим образом:</t>
  </si>
  <si>
    <t>Оценка Финансовой модели проекта</t>
  </si>
  <si>
    <t>Оценка финансовой модели по критерию, предусмотренному подпунктом 2.1 пункта 2 Критериев, осуществляется следующим образом:</t>
  </si>
  <si>
    <t>Оценка финансовой модели по критерию, предусмотренному подпунктом 2.2 пункта 2 Критериев, осуществляется следующим образом:</t>
  </si>
  <si>
    <r>
      <t xml:space="preserve">1) в случае отсутствия в финансовой модели арифметических и технических ошибок, несоответствий в расчетах в составе финансовой модели, а также методических и расчетных ошибок в финансовых показателях инвестиционного проекта (коэффициентах) финансовой модели присваивается </t>
    </r>
    <r>
      <rPr>
        <b/>
        <sz val="14"/>
        <color theme="1"/>
        <rFont val="Times New Roman"/>
        <family val="1"/>
        <charset val="204"/>
      </rPr>
      <t>3 (три) балла</t>
    </r>
    <r>
      <rPr>
        <sz val="14"/>
        <color theme="1"/>
        <rFont val="Times New Roman"/>
        <family val="1"/>
        <charset val="204"/>
      </rPr>
      <t>;</t>
    </r>
  </si>
  <si>
    <t>Оценка финансовой модели по критерию, предусмотренному подпунктом 2.3 пункта 2 Критериев, осуществляется следующим образом:</t>
  </si>
  <si>
    <r>
      <t>1) в случае согласованности основных атрибутов (разделов) финансовой модели между собой, а также с паспортом финансовой модели присваивается</t>
    </r>
    <r>
      <rPr>
        <b/>
        <sz val="14"/>
        <color theme="1"/>
        <rFont val="Times New Roman"/>
        <family val="1"/>
        <charset val="204"/>
      </rPr>
      <t xml:space="preserve"> 3 (три) балла</t>
    </r>
    <r>
      <rPr>
        <sz val="14"/>
        <color theme="1"/>
        <rFont val="Times New Roman"/>
        <family val="1"/>
        <charset val="204"/>
      </rPr>
      <t>;</t>
    </r>
  </si>
  <si>
    <t>Административно-хозяйственные расходы</t>
  </si>
  <si>
    <t>Приложения:</t>
  </si>
  <si>
    <t>Расчет оценки паспорта инвестиционного проекта и финансовой модели для получения статуса резидента</t>
  </si>
  <si>
    <t>Для получения статуса резидента</t>
  </si>
  <si>
    <t>Название инвест. проект 01</t>
  </si>
  <si>
    <t>ООО «ТЕСТ 01»</t>
  </si>
  <si>
    <t>разработчик шаблона финансово-экономической модели
ООО "Центр исследований и развития", ИНН 9719028227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</si>
</sst>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164" formatCode="_-* #,##0.00_-;\-* #,##0.00_-;_-* &quot;-&quot;??_-;_-@_-"/>
    <numFmt numFmtId="165" formatCode="#,##0_ ;[Red]\-#,##0\ "/>
    <numFmt numFmtId="166" formatCode="#,##0.00_ ;[Red]\-#,##0.00\ "/>
    <numFmt numFmtId="167" formatCode="#,##0;\(#,##0\);&quot;-&quot;"/>
    <numFmt numFmtId="168" formatCode="0.0%"/>
    <numFmt numFmtId="169" formatCode="0.00_ ;[Red]\-0.00\ "/>
    <numFmt numFmtId="170" formatCode="0.000_ ;[Red]\-0.000\ "/>
    <numFmt numFmtId="171" formatCode="dd/mm/yy;@"/>
    <numFmt numFmtId="172" formatCode="0_ ;[Red]\-0\ "/>
    <numFmt numFmtId="173" formatCode="#,##0.0_ ;[Red]\-#,##0.0\ "/>
    <numFmt numFmtId="174" formatCode="0.0_ ;[Red]\-0.0\ "/>
    <numFmt numFmtId="175" formatCode="#,##0.00;\(#,##0.00\);\-"/>
    <numFmt numFmtId="176" formatCode="#,##0.0"/>
    <numFmt numFmtId="177" formatCode="[$-FC19]dd\ mmmm\ yyyy\ \г\.;@"/>
  </numFmts>
  <fonts count="1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rgb="FFFF6C0E"/>
      <name val="Tahoma"/>
      <family val="2"/>
      <charset val="204"/>
    </font>
    <font>
      <sz val="10"/>
      <name val="Arial Cyr"/>
      <charset val="204"/>
    </font>
    <font>
      <sz val="9"/>
      <color theme="2" tint="-0.24994659260841701"/>
      <name val="Calibri"/>
      <family val="2"/>
      <charset val="204"/>
      <scheme val="minor"/>
    </font>
    <font>
      <sz val="10"/>
      <color theme="2" tint="-0.2499465926084170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2" tint="-0.2499465926084170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sz val="10"/>
      <color theme="0" tint="-0.249977111117893"/>
      <name val="Arial Cyr"/>
      <charset val="204"/>
    </font>
    <font>
      <sz val="12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EC004F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11"/>
      <color theme="1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2" tint="-0.24994659260841701"/>
      <name val="Times New Roman"/>
      <family val="1"/>
      <charset val="204"/>
    </font>
    <font>
      <b/>
      <sz val="10"/>
      <color theme="2" tint="-0.24994659260841701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b/>
      <sz val="11"/>
      <color theme="0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color theme="2" tint="-0.24994659260841701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i/>
      <sz val="11"/>
      <color theme="0" tint="-0.249977111117893"/>
      <name val="Times New Roman"/>
      <family val="1"/>
      <charset val="204"/>
    </font>
    <font>
      <sz val="9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0" tint="-0.14999847407452621"/>
      <name val="Times New Roman"/>
      <family val="1"/>
      <charset val="204"/>
    </font>
    <font>
      <u/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color theme="2" tint="-0.2499465926084170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i/>
      <sz val="11"/>
      <color theme="4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color theme="0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1"/>
      <color theme="2" tint="-0.2499465926084170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 tint="-0.249977111117893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2" tint="-0.2499465926084170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9"/>
      <color theme="2" tint="-0.2499465926084170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EC004F"/>
      <name val="Times New Roman"/>
      <family val="1"/>
      <charset val="204"/>
    </font>
    <font>
      <b/>
      <sz val="11"/>
      <color rgb="FFEC004F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sz val="18"/>
      <color theme="4"/>
      <name val="Times New Roman"/>
      <family val="1"/>
      <charset val="204"/>
    </font>
    <font>
      <sz val="14"/>
      <color theme="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color theme="0" tint="-4.9989318521683403E-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EC004F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7"/>
      <color theme="1"/>
      <name val="Montserrat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A3A3A3"/>
        <bgColor indexed="64"/>
      </patternFill>
    </fill>
    <fill>
      <patternFill patternType="solid">
        <fgColor rgb="FFF6F6F8"/>
        <bgColor indexed="64"/>
      </patternFill>
    </fill>
    <fill>
      <patternFill patternType="solid">
        <fgColor rgb="FF1C1C1C"/>
        <bgColor indexed="64"/>
      </patternFill>
    </fill>
    <fill>
      <patternFill patternType="solid">
        <fgColor rgb="FFEC004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BFA"/>
        <bgColor indexed="64"/>
      </patternFill>
    </fill>
    <fill>
      <patternFill patternType="solid">
        <fgColor rgb="FFC8E1B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Gray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rgb="FF1E3264"/>
      </left>
      <right style="hair">
        <color rgb="FF1E3264"/>
      </right>
      <top style="hair">
        <color rgb="FF1E3264"/>
      </top>
      <bottom style="hair">
        <color rgb="FF1E32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2" borderId="0" applyNumberFormat="0" applyBorder="0" applyAlignment="0"/>
    <xf numFmtId="0" fontId="2" fillId="0" borderId="0">
      <protection locked="0"/>
    </xf>
    <xf numFmtId="0" fontId="3" fillId="0" borderId="0" applyNumberFormat="0" applyFill="0" applyBorder="0" applyAlignment="0" applyProtection="0"/>
    <xf numFmtId="167" fontId="2" fillId="2" borderId="0"/>
    <xf numFmtId="3" fontId="2" fillId="3" borderId="0">
      <protection locked="0"/>
    </xf>
    <xf numFmtId="167" fontId="8" fillId="2" borderId="0">
      <alignment horizontal="left" vertical="center" indent="2"/>
    </xf>
    <xf numFmtId="0" fontId="9" fillId="0" borderId="0"/>
    <xf numFmtId="0" fontId="19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0" borderId="0"/>
    <xf numFmtId="0" fontId="23" fillId="0" borderId="0"/>
  </cellStyleXfs>
  <cellXfs count="853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165" fontId="0" fillId="0" borderId="1" xfId="0" applyNumberFormat="1" applyBorder="1"/>
    <xf numFmtId="0" fontId="0" fillId="2" borderId="0" xfId="0" applyFill="1"/>
    <xf numFmtId="9" fontId="0" fillId="0" borderId="1" xfId="0" applyNumberFormat="1" applyBorder="1"/>
    <xf numFmtId="0" fontId="0" fillId="0" borderId="0" xfId="0" applyAlignment="1">
      <alignment horizontal="center" vertical="center" wrapText="1"/>
    </xf>
    <xf numFmtId="9" fontId="0" fillId="0" borderId="8" xfId="0" applyNumberFormat="1" applyBorder="1"/>
    <xf numFmtId="0" fontId="13" fillId="0" borderId="0" xfId="0" applyFont="1"/>
    <xf numFmtId="0" fontId="14" fillId="0" borderId="0" xfId="0" applyFont="1"/>
    <xf numFmtId="165" fontId="0" fillId="0" borderId="8" xfId="0" applyNumberFormat="1" applyBorder="1"/>
    <xf numFmtId="0" fontId="15" fillId="0" borderId="0" xfId="0" applyFont="1"/>
    <xf numFmtId="172" fontId="16" fillId="0" borderId="0" xfId="7" applyNumberFormat="1" applyFont="1"/>
    <xf numFmtId="0" fontId="0" fillId="0" borderId="0" xfId="0" applyAlignment="1">
      <alignment vertical="center"/>
    </xf>
    <xf numFmtId="0" fontId="0" fillId="3" borderId="0" xfId="0" applyFill="1"/>
    <xf numFmtId="0" fontId="0" fillId="0" borderId="0" xfId="0" applyAlignment="1">
      <alignment horizontal="center" vertical="center"/>
    </xf>
    <xf numFmtId="0" fontId="14" fillId="3" borderId="0" xfId="0" applyFont="1" applyFill="1"/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7" borderId="0" xfId="0" applyFill="1"/>
    <xf numFmtId="0" fontId="0" fillId="0" borderId="0" xfId="0" applyAlignment="1">
      <alignment horizontal="left" vertical="center" wrapText="1"/>
    </xf>
    <xf numFmtId="0" fontId="20" fillId="0" borderId="0" xfId="8" applyFont="1"/>
    <xf numFmtId="0" fontId="20" fillId="0" borderId="0" xfId="8" applyFont="1" applyAlignment="1">
      <alignment horizontal="center" vertical="center"/>
    </xf>
    <xf numFmtId="0" fontId="20" fillId="0" borderId="0" xfId="0" applyFont="1"/>
    <xf numFmtId="165" fontId="0" fillId="0" borderId="3" xfId="0" applyNumberFormat="1" applyBorder="1"/>
    <xf numFmtId="165" fontId="0" fillId="0" borderId="9" xfId="0" applyNumberFormat="1" applyBorder="1"/>
    <xf numFmtId="165" fontId="0" fillId="0" borderId="26" xfId="0" applyNumberFormat="1" applyBorder="1"/>
    <xf numFmtId="165" fontId="0" fillId="0" borderId="6" xfId="0" applyNumberFormat="1" applyBorder="1"/>
    <xf numFmtId="165" fontId="0" fillId="0" borderId="28" xfId="0" applyNumberFormat="1" applyBorder="1"/>
    <xf numFmtId="9" fontId="0" fillId="0" borderId="3" xfId="0" applyNumberFormat="1" applyBorder="1"/>
    <xf numFmtId="9" fontId="0" fillId="0" borderId="6" xfId="0" applyNumberFormat="1" applyBorder="1"/>
    <xf numFmtId="9" fontId="0" fillId="0" borderId="9" xfId="0" applyNumberFormat="1" applyBorder="1"/>
    <xf numFmtId="9" fontId="0" fillId="0" borderId="26" xfId="0" applyNumberFormat="1" applyBorder="1"/>
    <xf numFmtId="9" fontId="0" fillId="0" borderId="28" xfId="0" applyNumberFormat="1" applyBorder="1"/>
    <xf numFmtId="165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9" fontId="0" fillId="0" borderId="8" xfId="0" applyNumberFormat="1" applyBorder="1" applyAlignment="1">
      <alignment vertical="center"/>
    </xf>
    <xf numFmtId="9" fontId="0" fillId="0" borderId="3" xfId="0" applyNumberFormat="1" applyBorder="1" applyAlignment="1">
      <alignment vertical="center"/>
    </xf>
    <xf numFmtId="9" fontId="0" fillId="0" borderId="31" xfId="0" applyNumberFormat="1" applyBorder="1"/>
    <xf numFmtId="9" fontId="0" fillId="0" borderId="31" xfId="0" applyNumberFormat="1" applyBorder="1" applyAlignment="1">
      <alignment vertical="center"/>
    </xf>
    <xf numFmtId="9" fontId="0" fillId="0" borderId="32" xfId="0" applyNumberFormat="1" applyBorder="1" applyAlignment="1">
      <alignment vertical="center"/>
    </xf>
    <xf numFmtId="9" fontId="0" fillId="0" borderId="25" xfId="0" applyNumberFormat="1" applyBorder="1"/>
    <xf numFmtId="9" fontId="0" fillId="0" borderId="33" xfId="0" applyNumberFormat="1" applyBorder="1"/>
    <xf numFmtId="9" fontId="0" fillId="0" borderId="27" xfId="0" applyNumberFormat="1" applyBorder="1"/>
    <xf numFmtId="9" fontId="0" fillId="0" borderId="34" xfId="0" applyNumberFormat="1" applyBorder="1"/>
    <xf numFmtId="9" fontId="0" fillId="0" borderId="36" xfId="0" applyNumberFormat="1" applyBorder="1"/>
    <xf numFmtId="9" fontId="0" fillId="0" borderId="37" xfId="0" applyNumberFormat="1" applyBorder="1"/>
    <xf numFmtId="9" fontId="1" fillId="0" borderId="29" xfId="0" applyNumberFormat="1" applyFont="1" applyBorder="1"/>
    <xf numFmtId="9" fontId="0" fillId="0" borderId="38" xfId="0" applyNumberFormat="1" applyBorder="1"/>
    <xf numFmtId="9" fontId="0" fillId="0" borderId="39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0" borderId="38" xfId="0" applyNumberFormat="1" applyBorder="1"/>
    <xf numFmtId="165" fontId="0" fillId="0" borderId="39" xfId="0" applyNumberFormat="1" applyBorder="1"/>
    <xf numFmtId="165" fontId="0" fillId="0" borderId="25" xfId="0" applyNumberFormat="1" applyBorder="1"/>
    <xf numFmtId="165" fontId="0" fillId="0" borderId="27" xfId="0" applyNumberFormat="1" applyBorder="1"/>
    <xf numFmtId="165" fontId="0" fillId="0" borderId="8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31" xfId="0" applyNumberFormat="1" applyBorder="1"/>
    <xf numFmtId="165" fontId="0" fillId="0" borderId="33" xfId="0" applyNumberFormat="1" applyBorder="1"/>
    <xf numFmtId="165" fontId="1" fillId="0" borderId="29" xfId="0" applyNumberFormat="1" applyFont="1" applyBorder="1"/>
    <xf numFmtId="165" fontId="0" fillId="0" borderId="34" xfId="0" applyNumberFormat="1" applyBorder="1"/>
    <xf numFmtId="165" fontId="0" fillId="0" borderId="31" xfId="0" applyNumberFormat="1" applyBorder="1" applyAlignment="1">
      <alignment vertical="center"/>
    </xf>
    <xf numFmtId="165" fontId="0" fillId="0" borderId="32" xfId="0" applyNumberForma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4" fillId="0" borderId="0" xfId="0" applyFont="1"/>
    <xf numFmtId="0" fontId="24" fillId="9" borderId="0" xfId="0" applyFont="1" applyFill="1"/>
    <xf numFmtId="0" fontId="25" fillId="0" borderId="0" xfId="0" applyFont="1" applyAlignment="1">
      <alignment horizontal="center" vertical="center" wrapText="1"/>
    </xf>
    <xf numFmtId="1" fontId="29" fillId="8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left" vertical="center" wrapText="1"/>
    </xf>
    <xf numFmtId="0" fontId="31" fillId="0" borderId="0" xfId="3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49" fontId="29" fillId="6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12" borderId="1" xfId="0" applyFont="1" applyFill="1" applyBorder="1" applyAlignment="1">
      <alignment vertical="center"/>
    </xf>
    <xf numFmtId="0" fontId="24" fillId="16" borderId="1" xfId="0" applyFont="1" applyFill="1" applyBorder="1" applyAlignment="1">
      <alignment vertical="center"/>
    </xf>
    <xf numFmtId="0" fontId="24" fillId="13" borderId="1" xfId="0" applyFont="1" applyFill="1" applyBorder="1" applyAlignment="1">
      <alignment vertical="center"/>
    </xf>
    <xf numFmtId="0" fontId="24" fillId="18" borderId="1" xfId="0" applyFont="1" applyFill="1" applyBorder="1" applyAlignment="1">
      <alignment vertical="center"/>
    </xf>
    <xf numFmtId="0" fontId="32" fillId="14" borderId="1" xfId="0" applyFont="1" applyFill="1" applyBorder="1" applyAlignment="1">
      <alignment horizontal="left" vertical="center" wrapText="1"/>
    </xf>
    <xf numFmtId="0" fontId="32" fillId="25" borderId="1" xfId="0" applyFont="1" applyFill="1" applyBorder="1" applyAlignment="1">
      <alignment horizontal="left" vertical="center" wrapText="1"/>
    </xf>
    <xf numFmtId="0" fontId="24" fillId="17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7" borderId="5" xfId="0" applyFont="1" applyFill="1" applyBorder="1" applyAlignment="1">
      <alignment vertical="top"/>
    </xf>
    <xf numFmtId="0" fontId="24" fillId="0" borderId="3" xfId="0" applyFont="1" applyBorder="1"/>
    <xf numFmtId="0" fontId="24" fillId="24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1" fillId="0" borderId="1" xfId="3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4" fillId="7" borderId="5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33" fillId="0" borderId="0" xfId="3" applyFont="1" applyAlignment="1">
      <alignment horizontal="left" vertical="center"/>
    </xf>
    <xf numFmtId="1" fontId="29" fillId="2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vertical="center" wrapText="1"/>
    </xf>
    <xf numFmtId="16" fontId="24" fillId="0" borderId="1" xfId="0" applyNumberFormat="1" applyFont="1" applyBorder="1" applyAlignment="1">
      <alignment vertical="center" wrapText="1"/>
    </xf>
    <xf numFmtId="0" fontId="24" fillId="7" borderId="5" xfId="0" applyFont="1" applyFill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33" fillId="0" borderId="0" xfId="3" applyFont="1" applyFill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 wrapText="1"/>
    </xf>
    <xf numFmtId="1" fontId="29" fillId="0" borderId="0" xfId="0" applyNumberFormat="1" applyFont="1" applyAlignment="1">
      <alignment horizontal="center"/>
    </xf>
    <xf numFmtId="0" fontId="31" fillId="0" borderId="0" xfId="3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31" fillId="0" borderId="0" xfId="3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3" fillId="0" borderId="0" xfId="3" applyFont="1" applyFill="1" applyAlignment="1">
      <alignment horizontal="left" vertical="center" wrapText="1"/>
    </xf>
    <xf numFmtId="1" fontId="29" fillId="0" borderId="0" xfId="0" applyNumberFormat="1" applyFont="1" applyAlignment="1">
      <alignment horizontal="left" vertical="center"/>
    </xf>
    <xf numFmtId="0" fontId="32" fillId="12" borderId="14" xfId="0" applyFont="1" applyFill="1" applyBorder="1" applyAlignment="1">
      <alignment horizontal="left" vertical="center" wrapText="1"/>
    </xf>
    <xf numFmtId="0" fontId="32" fillId="16" borderId="1" xfId="0" applyFont="1" applyFill="1" applyBorder="1" applyAlignment="1">
      <alignment vertical="center" wrapText="1"/>
    </xf>
    <xf numFmtId="0" fontId="32" fillId="13" borderId="14" xfId="0" applyFont="1" applyFill="1" applyBorder="1" applyAlignment="1">
      <alignment horizontal="left" vertical="center"/>
    </xf>
    <xf numFmtId="0" fontId="32" fillId="14" borderId="14" xfId="0" applyFont="1" applyFill="1" applyBorder="1" applyAlignment="1">
      <alignment horizontal="left" vertical="center" wrapText="1"/>
    </xf>
    <xf numFmtId="0" fontId="32" fillId="25" borderId="14" xfId="0" applyFont="1" applyFill="1" applyBorder="1" applyAlignment="1">
      <alignment horizontal="left" vertical="center" wrapText="1"/>
    </xf>
    <xf numFmtId="0" fontId="35" fillId="17" borderId="14" xfId="0" applyFont="1" applyFill="1" applyBorder="1" applyAlignment="1">
      <alignment horizontal="left" vertical="center"/>
    </xf>
    <xf numFmtId="0" fontId="32" fillId="24" borderId="0" xfId="0" applyFont="1" applyFill="1" applyAlignment="1">
      <alignment horizontal="left" vertical="center" wrapText="1"/>
    </xf>
    <xf numFmtId="0" fontId="36" fillId="0" borderId="0" xfId="3" applyFont="1" applyFill="1" applyBorder="1" applyAlignment="1">
      <alignment horizontal="left" vertical="center"/>
    </xf>
    <xf numFmtId="0" fontId="37" fillId="0" borderId="0" xfId="0" applyFont="1"/>
    <xf numFmtId="0" fontId="27" fillId="0" borderId="0" xfId="0" applyFont="1"/>
    <xf numFmtId="0" fontId="38" fillId="0" borderId="0" xfId="0" applyFont="1"/>
    <xf numFmtId="165" fontId="39" fillId="0" borderId="1" xfId="0" applyNumberFormat="1" applyFont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/>
    </xf>
    <xf numFmtId="1" fontId="40" fillId="6" borderId="1" xfId="0" applyNumberFormat="1" applyFont="1" applyFill="1" applyBorder="1" applyAlignment="1">
      <alignment horizontal="center"/>
    </xf>
    <xf numFmtId="170" fontId="24" fillId="0" borderId="1" xfId="0" applyNumberFormat="1" applyFont="1" applyBorder="1" applyAlignment="1">
      <alignment horizontal="right"/>
    </xf>
    <xf numFmtId="168" fontId="24" fillId="0" borderId="1" xfId="0" applyNumberFormat="1" applyFont="1" applyBorder="1"/>
    <xf numFmtId="0" fontId="24" fillId="0" borderId="4" xfId="0" applyFont="1" applyBorder="1"/>
    <xf numFmtId="0" fontId="24" fillId="0" borderId="8" xfId="0" applyFont="1" applyBorder="1"/>
    <xf numFmtId="9" fontId="24" fillId="0" borderId="8" xfId="0" applyNumberFormat="1" applyFont="1" applyBorder="1"/>
    <xf numFmtId="165" fontId="24" fillId="0" borderId="1" xfId="0" applyNumberFormat="1" applyFont="1" applyBorder="1" applyAlignment="1">
      <alignment horizontal="right"/>
    </xf>
    <xf numFmtId="166" fontId="24" fillId="0" borderId="8" xfId="0" applyNumberFormat="1" applyFont="1" applyBorder="1"/>
    <xf numFmtId="9" fontId="24" fillId="0" borderId="1" xfId="0" applyNumberFormat="1" applyFont="1" applyBorder="1"/>
    <xf numFmtId="9" fontId="27" fillId="0" borderId="1" xfId="0" applyNumberFormat="1" applyFont="1" applyBorder="1"/>
    <xf numFmtId="9" fontId="24" fillId="23" borderId="1" xfId="0" applyNumberFormat="1" applyFont="1" applyFill="1" applyBorder="1"/>
    <xf numFmtId="168" fontId="24" fillId="0" borderId="8" xfId="0" applyNumberFormat="1" applyFont="1" applyBorder="1"/>
    <xf numFmtId="168" fontId="27" fillId="0" borderId="1" xfId="0" applyNumberFormat="1" applyFont="1" applyBorder="1"/>
    <xf numFmtId="174" fontId="24" fillId="0" borderId="1" xfId="0" applyNumberFormat="1" applyFont="1" applyBorder="1" applyAlignment="1">
      <alignment horizontal="center"/>
    </xf>
    <xf numFmtId="165" fontId="34" fillId="4" borderId="1" xfId="0" applyNumberFormat="1" applyFont="1" applyFill="1" applyBorder="1" applyAlignment="1">
      <alignment vertical="center"/>
    </xf>
    <xf numFmtId="1" fontId="40" fillId="0" borderId="1" xfId="0" applyNumberFormat="1" applyFont="1" applyBorder="1" applyAlignment="1">
      <alignment horizontal="center"/>
    </xf>
    <xf numFmtId="1" fontId="41" fillId="0" borderId="1" xfId="0" applyNumberFormat="1" applyFont="1" applyBorder="1" applyAlignment="1">
      <alignment horizontal="center"/>
    </xf>
    <xf numFmtId="166" fontId="34" fillId="4" borderId="1" xfId="0" applyNumberFormat="1" applyFont="1" applyFill="1" applyBorder="1" applyAlignment="1">
      <alignment vertical="center"/>
    </xf>
    <xf numFmtId="166" fontId="34" fillId="4" borderId="8" xfId="0" applyNumberFormat="1" applyFont="1" applyFill="1" applyBorder="1" applyAlignment="1">
      <alignment vertical="center"/>
    </xf>
    <xf numFmtId="166" fontId="24" fillId="0" borderId="8" xfId="0" applyNumberFormat="1" applyFont="1" applyBorder="1" applyAlignment="1">
      <alignment horizontal="right" vertical="center"/>
    </xf>
    <xf numFmtId="0" fontId="24" fillId="0" borderId="1" xfId="0" applyFont="1" applyBorder="1"/>
    <xf numFmtId="1" fontId="40" fillId="25" borderId="1" xfId="0" applyNumberFormat="1" applyFont="1" applyFill="1" applyBorder="1" applyAlignment="1">
      <alignment horizontal="center"/>
    </xf>
    <xf numFmtId="0" fontId="42" fillId="0" borderId="0" xfId="0" applyFont="1"/>
    <xf numFmtId="165" fontId="24" fillId="0" borderId="1" xfId="0" applyNumberFormat="1" applyFont="1" applyBorder="1" applyAlignment="1">
      <alignment horizontal="right" vertical="center"/>
    </xf>
    <xf numFmtId="166" fontId="24" fillId="0" borderId="1" xfId="0" applyNumberFormat="1" applyFont="1" applyBorder="1" applyAlignment="1">
      <alignment horizontal="right" vertical="center"/>
    </xf>
    <xf numFmtId="0" fontId="31" fillId="0" borderId="0" xfId="3" applyFont="1" applyAlignment="1">
      <alignment horizontal="left" vertical="center"/>
    </xf>
    <xf numFmtId="0" fontId="24" fillId="0" borderId="0" xfId="0" applyFont="1" applyAlignment="1">
      <alignment vertical="center"/>
    </xf>
    <xf numFmtId="0" fontId="43" fillId="0" borderId="0" xfId="0" applyFont="1"/>
    <xf numFmtId="1" fontId="29" fillId="6" borderId="1" xfId="0" applyNumberFormat="1" applyFont="1" applyFill="1" applyBorder="1" applyAlignment="1">
      <alignment horizontal="center"/>
    </xf>
    <xf numFmtId="0" fontId="30" fillId="3" borderId="0" xfId="0" applyFont="1" applyFill="1" applyAlignment="1">
      <alignment textRotation="90"/>
    </xf>
    <xf numFmtId="0" fontId="24" fillId="3" borderId="0" xfId="0" applyFont="1" applyFill="1"/>
    <xf numFmtId="0" fontId="24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65" fontId="39" fillId="0" borderId="0" xfId="0" applyNumberFormat="1" applyFont="1" applyAlignment="1">
      <alignment horizontal="center" vertical="center"/>
    </xf>
    <xf numFmtId="1" fontId="29" fillId="6" borderId="0" xfId="0" applyNumberFormat="1" applyFont="1" applyFill="1" applyAlignment="1">
      <alignment horizontal="center" vertical="center"/>
    </xf>
    <xf numFmtId="165" fontId="39" fillId="0" borderId="0" xfId="0" applyNumberFormat="1" applyFont="1" applyAlignment="1">
      <alignment vertical="center"/>
    </xf>
    <xf numFmtId="9" fontId="24" fillId="0" borderId="0" xfId="0" applyNumberFormat="1" applyFont="1"/>
    <xf numFmtId="165" fontId="32" fillId="0" borderId="0" xfId="0" applyNumberFormat="1" applyFont="1" applyAlignment="1">
      <alignment vertical="center"/>
    </xf>
    <xf numFmtId="0" fontId="24" fillId="0" borderId="0" xfId="0" applyFont="1" applyAlignment="1">
      <alignment wrapText="1"/>
    </xf>
    <xf numFmtId="0" fontId="44" fillId="0" borderId="8" xfId="0" applyFont="1" applyBorder="1"/>
    <xf numFmtId="0" fontId="31" fillId="0" borderId="0" xfId="3" applyFont="1" applyAlignment="1">
      <alignment wrapText="1"/>
    </xf>
    <xf numFmtId="0" fontId="27" fillId="20" borderId="0" xfId="0" applyFont="1" applyFill="1"/>
    <xf numFmtId="0" fontId="24" fillId="23" borderId="0" xfId="0" applyFont="1" applyFill="1" applyAlignment="1">
      <alignment horizontal="left" vertical="top" wrapText="1"/>
    </xf>
    <xf numFmtId="0" fontId="31" fillId="0" borderId="8" xfId="3" applyFont="1" applyBorder="1" applyAlignment="1">
      <alignment horizontal="center" vertical="center"/>
    </xf>
    <xf numFmtId="0" fontId="45" fillId="0" borderId="1" xfId="3" applyFont="1" applyBorder="1" applyAlignment="1">
      <alignment wrapText="1"/>
    </xf>
    <xf numFmtId="0" fontId="31" fillId="0" borderId="1" xfId="3" applyFont="1" applyBorder="1" applyAlignment="1">
      <alignment wrapText="1"/>
    </xf>
    <xf numFmtId="1" fontId="40" fillId="0" borderId="9" xfId="0" applyNumberFormat="1" applyFont="1" applyBorder="1" applyAlignment="1">
      <alignment horizontal="center"/>
    </xf>
    <xf numFmtId="1" fontId="41" fillId="0" borderId="25" xfId="0" applyNumberFormat="1" applyFont="1" applyBorder="1" applyAlignment="1">
      <alignment horizontal="center"/>
    </xf>
    <xf numFmtId="1" fontId="40" fillId="0" borderId="25" xfId="0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24" fillId="0" borderId="8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31" fillId="0" borderId="8" xfId="3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38" fillId="0" borderId="10" xfId="0" applyFont="1" applyBorder="1" applyAlignment="1">
      <alignment horizontal="center"/>
    </xf>
    <xf numFmtId="0" fontId="46" fillId="0" borderId="10" xfId="0" applyFont="1" applyBorder="1" applyAlignment="1">
      <alignment horizontal="left"/>
    </xf>
    <xf numFmtId="49" fontId="34" fillId="0" borderId="1" xfId="0" applyNumberFormat="1" applyFont="1" applyBorder="1" applyAlignment="1">
      <alignment vertical="center" wrapText="1"/>
    </xf>
    <xf numFmtId="0" fontId="47" fillId="0" borderId="0" xfId="0" applyFont="1"/>
    <xf numFmtId="49" fontId="48" fillId="6" borderId="1" xfId="0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47" fillId="0" borderId="1" xfId="0" applyFont="1" applyBorder="1"/>
    <xf numFmtId="49" fontId="47" fillId="0" borderId="1" xfId="0" applyNumberFormat="1" applyFont="1" applyBorder="1" applyAlignment="1">
      <alignment horizontal="center"/>
    </xf>
    <xf numFmtId="0" fontId="29" fillId="6" borderId="0" xfId="0" applyFont="1" applyFill="1" applyAlignment="1">
      <alignment horizontal="center" vertical="center" wrapText="1"/>
    </xf>
    <xf numFmtId="0" fontId="49" fillId="0" borderId="8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1" fontId="51" fillId="21" borderId="0" xfId="12" applyNumberFormat="1" applyFont="1" applyFill="1"/>
    <xf numFmtId="3" fontId="24" fillId="0" borderId="0" xfId="10" applyNumberFormat="1" applyFont="1" applyAlignment="1">
      <alignment horizontal="right"/>
    </xf>
    <xf numFmtId="168" fontId="34" fillId="0" borderId="0" xfId="11" applyNumberFormat="1" applyFont="1" applyAlignment="1">
      <alignment horizontal="right"/>
    </xf>
    <xf numFmtId="0" fontId="52" fillId="0" borderId="0" xfId="11" applyFont="1"/>
    <xf numFmtId="0" fontId="51" fillId="18" borderId="0" xfId="12" applyFont="1" applyFill="1"/>
    <xf numFmtId="0" fontId="24" fillId="0" borderId="0" xfId="11" applyFont="1" applyAlignment="1">
      <alignment vertical="center"/>
    </xf>
    <xf numFmtId="0" fontId="53" fillId="0" borderId="0" xfId="11" applyFont="1"/>
    <xf numFmtId="0" fontId="51" fillId="21" borderId="0" xfId="12" applyFont="1" applyFill="1"/>
    <xf numFmtId="0" fontId="34" fillId="0" borderId="0" xfId="11" applyFont="1" applyAlignment="1">
      <alignment horizontal="left"/>
    </xf>
    <xf numFmtId="0" fontId="24" fillId="0" borderId="1" xfId="0" applyFont="1" applyBorder="1" applyAlignment="1">
      <alignment horizontal="left" vertical="top" wrapText="1"/>
    </xf>
    <xf numFmtId="168" fontId="54" fillId="0" borderId="0" xfId="10" applyNumberFormat="1" applyFont="1" applyAlignment="1">
      <alignment horizontal="center" vertical="center"/>
    </xf>
    <xf numFmtId="0" fontId="55" fillId="21" borderId="0" xfId="12" applyFont="1" applyFill="1"/>
    <xf numFmtId="0" fontId="56" fillId="0" borderId="0" xfId="11" applyFont="1" applyAlignment="1">
      <alignment horizontal="left"/>
    </xf>
    <xf numFmtId="168" fontId="53" fillId="0" borderId="0" xfId="10" applyNumberFormat="1" applyFont="1" applyAlignment="1">
      <alignment horizontal="center"/>
    </xf>
    <xf numFmtId="168" fontId="51" fillId="22" borderId="0" xfId="11" applyNumberFormat="1" applyFont="1" applyFill="1" applyAlignment="1">
      <alignment horizontal="right"/>
    </xf>
    <xf numFmtId="175" fontId="24" fillId="0" borderId="1" xfId="0" applyNumberFormat="1" applyFont="1" applyBorder="1"/>
    <xf numFmtId="0" fontId="57" fillId="0" borderId="0" xfId="11" applyFont="1" applyAlignment="1">
      <alignment horizontal="right"/>
    </xf>
    <xf numFmtId="168" fontId="51" fillId="18" borderId="0" xfId="11" applyNumberFormat="1" applyFont="1" applyFill="1" applyAlignment="1">
      <alignment horizontal="right"/>
    </xf>
    <xf numFmtId="3" fontId="24" fillId="0" borderId="0" xfId="10" applyNumberFormat="1" applyFont="1" applyAlignment="1">
      <alignment horizontal="right" vertical="center"/>
    </xf>
    <xf numFmtId="168" fontId="27" fillId="0" borderId="0" xfId="10" applyNumberFormat="1" applyFont="1" applyAlignment="1">
      <alignment horizontal="right" vertical="center" indent="2"/>
    </xf>
    <xf numFmtId="168" fontId="24" fillId="0" borderId="0" xfId="10" applyNumberFormat="1" applyFont="1" applyAlignment="1">
      <alignment horizontal="right" vertical="center"/>
    </xf>
    <xf numFmtId="0" fontId="52" fillId="0" borderId="0" xfId="11" applyFont="1" applyAlignment="1">
      <alignment horizontal="right"/>
    </xf>
    <xf numFmtId="175" fontId="34" fillId="0" borderId="0" xfId="9" applyNumberFormat="1" applyFont="1" applyAlignment="1">
      <alignment horizontal="right"/>
    </xf>
    <xf numFmtId="0" fontId="44" fillId="0" borderId="0" xfId="0" applyFont="1"/>
    <xf numFmtId="0" fontId="31" fillId="0" borderId="1" xfId="3" applyFont="1" applyBorder="1" applyAlignment="1">
      <alignment horizontal="center" vertical="center"/>
    </xf>
    <xf numFmtId="0" fontId="58" fillId="0" borderId="0" xfId="11" applyFont="1" applyAlignment="1">
      <alignment horizontal="left"/>
    </xf>
    <xf numFmtId="165" fontId="51" fillId="7" borderId="1" xfId="0" applyNumberFormat="1" applyFont="1" applyFill="1" applyBorder="1" applyAlignment="1">
      <alignment vertical="center"/>
    </xf>
    <xf numFmtId="165" fontId="34" fillId="0" borderId="8" xfId="0" applyNumberFormat="1" applyFont="1" applyBorder="1" applyAlignment="1">
      <alignment vertical="center"/>
    </xf>
    <xf numFmtId="165" fontId="34" fillId="0" borderId="1" xfId="0" applyNumberFormat="1" applyFont="1" applyBorder="1" applyAlignment="1">
      <alignment vertical="center"/>
    </xf>
    <xf numFmtId="165" fontId="24" fillId="0" borderId="1" xfId="0" applyNumberFormat="1" applyFont="1" applyBorder="1"/>
    <xf numFmtId="165" fontId="34" fillId="10" borderId="1" xfId="0" applyNumberFormat="1" applyFont="1" applyFill="1" applyBorder="1" applyAlignment="1">
      <alignment vertical="center"/>
    </xf>
    <xf numFmtId="165" fontId="49" fillId="0" borderId="1" xfId="0" applyNumberFormat="1" applyFont="1" applyBorder="1" applyAlignment="1">
      <alignment vertical="center"/>
    </xf>
    <xf numFmtId="165" fontId="34" fillId="20" borderId="1" xfId="0" applyNumberFormat="1" applyFont="1" applyFill="1" applyBorder="1" applyAlignment="1">
      <alignment vertical="center"/>
    </xf>
    <xf numFmtId="165" fontId="24" fillId="0" borderId="0" xfId="0" applyNumberFormat="1" applyFont="1" applyAlignment="1">
      <alignment horizontal="right" vertical="center"/>
    </xf>
    <xf numFmtId="1" fontId="29" fillId="6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4" fillId="0" borderId="9" xfId="0" applyFont="1" applyBorder="1"/>
    <xf numFmtId="0" fontId="27" fillId="0" borderId="0" xfId="0" applyFont="1" applyAlignment="1">
      <alignment wrapText="1"/>
    </xf>
    <xf numFmtId="0" fontId="49" fillId="0" borderId="1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4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165" fontId="27" fillId="0" borderId="0" xfId="0" applyNumberFormat="1" applyFont="1"/>
    <xf numFmtId="165" fontId="60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/>
    <xf numFmtId="0" fontId="61" fillId="0" borderId="0" xfId="0" applyFont="1"/>
    <xf numFmtId="165" fontId="34" fillId="0" borderId="6" xfId="0" applyNumberFormat="1" applyFont="1" applyBorder="1" applyAlignment="1">
      <alignment vertical="center"/>
    </xf>
    <xf numFmtId="49" fontId="29" fillId="0" borderId="1" xfId="0" applyNumberFormat="1" applyFont="1" applyBorder="1" applyAlignment="1">
      <alignment horizontal="center" vertical="center"/>
    </xf>
    <xf numFmtId="49" fontId="62" fillId="0" borderId="1" xfId="0" applyNumberFormat="1" applyFont="1" applyBorder="1" applyAlignment="1">
      <alignment horizontal="left" vertical="center"/>
    </xf>
    <xf numFmtId="171" fontId="63" fillId="0" borderId="1" xfId="0" applyNumberFormat="1" applyFont="1" applyBorder="1" applyAlignment="1">
      <alignment horizontal="center" vertical="center"/>
    </xf>
    <xf numFmtId="165" fontId="61" fillId="0" borderId="6" xfId="0" applyNumberFormat="1" applyFont="1" applyBorder="1" applyAlignment="1">
      <alignment vertical="center"/>
    </xf>
    <xf numFmtId="165" fontId="64" fillId="7" borderId="1" xfId="0" applyNumberFormat="1" applyFont="1" applyFill="1" applyBorder="1" applyAlignment="1">
      <alignment vertical="center"/>
    </xf>
    <xf numFmtId="49" fontId="65" fillId="0" borderId="1" xfId="0" applyNumberFormat="1" applyFont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left" vertical="center"/>
    </xf>
    <xf numFmtId="0" fontId="66" fillId="0" borderId="1" xfId="0" applyFont="1" applyBorder="1" applyAlignment="1">
      <alignment horizontal="center"/>
    </xf>
    <xf numFmtId="49" fontId="60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left" vertical="center"/>
    </xf>
    <xf numFmtId="0" fontId="31" fillId="0" borderId="1" xfId="3" applyNumberFormat="1" applyFont="1" applyBorder="1" applyAlignment="1">
      <alignment horizontal="center" vertical="center"/>
    </xf>
    <xf numFmtId="0" fontId="61" fillId="0" borderId="1" xfId="0" applyFont="1" applyBorder="1"/>
    <xf numFmtId="0" fontId="67" fillId="0" borderId="1" xfId="3" applyFont="1" applyBorder="1" applyAlignment="1">
      <alignment horizontal="center" vertical="center"/>
    </xf>
    <xf numFmtId="1" fontId="29" fillId="0" borderId="0" xfId="0" applyNumberFormat="1" applyFont="1" applyAlignment="1">
      <alignment horizontal="center" wrapText="1"/>
    </xf>
    <xf numFmtId="0" fontId="51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left" vertical="top" wrapText="1"/>
    </xf>
    <xf numFmtId="0" fontId="61" fillId="0" borderId="1" xfId="0" applyFont="1" applyBorder="1" applyAlignment="1">
      <alignment vertical="center" wrapText="1"/>
    </xf>
    <xf numFmtId="0" fontId="68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left" vertical="top" wrapText="1"/>
    </xf>
    <xf numFmtId="0" fontId="69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70" fillId="0" borderId="1" xfId="0" applyFont="1" applyBorder="1"/>
    <xf numFmtId="0" fontId="61" fillId="0" borderId="1" xfId="0" applyFont="1" applyBorder="1" applyAlignment="1">
      <alignment horizontal="center"/>
    </xf>
    <xf numFmtId="165" fontId="71" fillId="7" borderId="1" xfId="0" applyNumberFormat="1" applyFont="1" applyFill="1" applyBorder="1" applyAlignment="1">
      <alignment vertical="center"/>
    </xf>
    <xf numFmtId="172" fontId="27" fillId="0" borderId="1" xfId="0" applyNumberFormat="1" applyFont="1" applyBorder="1"/>
    <xf numFmtId="10" fontId="51" fillId="0" borderId="1" xfId="0" applyNumberFormat="1" applyFont="1" applyBorder="1"/>
    <xf numFmtId="2" fontId="51" fillId="0" borderId="1" xfId="0" applyNumberFormat="1" applyFont="1" applyBorder="1" applyAlignment="1">
      <alignment vertical="center"/>
    </xf>
    <xf numFmtId="10" fontId="34" fillId="0" borderId="1" xfId="0" applyNumberFormat="1" applyFont="1" applyBorder="1" applyAlignment="1">
      <alignment vertical="center"/>
    </xf>
    <xf numFmtId="165" fontId="68" fillId="0" borderId="6" xfId="0" applyNumberFormat="1" applyFont="1" applyBorder="1" applyAlignment="1">
      <alignment vertical="center"/>
    </xf>
    <xf numFmtId="3" fontId="72" fillId="20" borderId="17" xfId="8" applyNumberFormat="1" applyFont="1" applyFill="1" applyBorder="1" applyAlignment="1">
      <alignment horizontal="center" vertical="center"/>
    </xf>
    <xf numFmtId="176" fontId="72" fillId="20" borderId="17" xfId="8" applyNumberFormat="1" applyFont="1" applyFill="1" applyBorder="1" applyAlignment="1">
      <alignment horizontal="center" vertical="center"/>
    </xf>
    <xf numFmtId="0" fontId="24" fillId="0" borderId="0" xfId="8" applyFont="1"/>
    <xf numFmtId="1" fontId="73" fillId="0" borderId="19" xfId="8" applyNumberFormat="1" applyFont="1" applyBorder="1" applyAlignment="1">
      <alignment horizontal="center" vertical="center" wrapText="1"/>
    </xf>
    <xf numFmtId="165" fontId="74" fillId="0" borderId="15" xfId="0" applyNumberFormat="1" applyFont="1" applyBorder="1" applyAlignment="1">
      <alignment horizontal="right" vertical="center"/>
    </xf>
    <xf numFmtId="3" fontId="72" fillId="0" borderId="15" xfId="0" applyNumberFormat="1" applyFont="1" applyBorder="1" applyAlignment="1">
      <alignment horizontal="right" vertical="center" wrapText="1"/>
    </xf>
    <xf numFmtId="165" fontId="72" fillId="0" borderId="15" xfId="0" applyNumberFormat="1" applyFont="1" applyBorder="1" applyAlignment="1">
      <alignment horizontal="right" vertical="center"/>
    </xf>
    <xf numFmtId="0" fontId="72" fillId="0" borderId="17" xfId="8" applyFont="1" applyBorder="1" applyAlignment="1">
      <alignment vertical="center"/>
    </xf>
    <xf numFmtId="3" fontId="72" fillId="0" borderId="17" xfId="8" applyNumberFormat="1" applyFont="1" applyBorder="1" applyAlignment="1">
      <alignment horizontal="center" vertical="center"/>
    </xf>
    <xf numFmtId="3" fontId="74" fillId="0" borderId="17" xfId="8" applyNumberFormat="1" applyFont="1" applyBorder="1" applyAlignment="1">
      <alignment horizontal="center" vertical="center"/>
    </xf>
    <xf numFmtId="1" fontId="75" fillId="0" borderId="19" xfId="8" applyNumberFormat="1" applyFont="1" applyBorder="1" applyAlignment="1">
      <alignment horizontal="center" vertical="center" wrapText="1"/>
    </xf>
    <xf numFmtId="3" fontId="30" fillId="0" borderId="17" xfId="8" applyNumberFormat="1" applyFont="1" applyBorder="1" applyAlignment="1">
      <alignment horizontal="center" vertical="center"/>
    </xf>
    <xf numFmtId="3" fontId="75" fillId="0" borderId="17" xfId="8" applyNumberFormat="1" applyFont="1" applyBorder="1" applyAlignment="1">
      <alignment horizontal="center" vertical="center"/>
    </xf>
    <xf numFmtId="0" fontId="76" fillId="0" borderId="17" xfId="8" applyFont="1" applyBorder="1" applyAlignment="1">
      <alignment horizontal="center" vertical="center"/>
    </xf>
    <xf numFmtId="3" fontId="32" fillId="0" borderId="24" xfId="8" applyNumberFormat="1" applyFont="1" applyBorder="1" applyAlignment="1">
      <alignment horizontal="right" vertical="center" wrapText="1"/>
    </xf>
    <xf numFmtId="0" fontId="77" fillId="0" borderId="0" xfId="8" applyFont="1"/>
    <xf numFmtId="165" fontId="32" fillId="0" borderId="24" xfId="8" applyNumberFormat="1" applyFont="1" applyBorder="1" applyAlignment="1">
      <alignment horizontal="right" vertical="center"/>
    </xf>
    <xf numFmtId="0" fontId="32" fillId="0" borderId="0" xfId="8" applyFont="1" applyAlignment="1">
      <alignment horizontal="right" vertical="center" wrapText="1"/>
    </xf>
    <xf numFmtId="1" fontId="73" fillId="0" borderId="1" xfId="8" applyNumberFormat="1" applyFont="1" applyBorder="1" applyAlignment="1">
      <alignment horizontal="center" vertical="center" wrapText="1"/>
    </xf>
    <xf numFmtId="0" fontId="32" fillId="0" borderId="1" xfId="8" applyFont="1" applyBorder="1" applyAlignment="1">
      <alignment horizontal="center" vertical="center" wrapText="1"/>
    </xf>
    <xf numFmtId="3" fontId="72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165" fontId="72" fillId="0" borderId="1" xfId="0" applyNumberFormat="1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 wrapText="1"/>
    </xf>
    <xf numFmtId="0" fontId="29" fillId="0" borderId="0" xfId="8" applyFont="1" applyAlignment="1">
      <alignment horizontal="center"/>
    </xf>
    <xf numFmtId="0" fontId="74" fillId="0" borderId="16" xfId="8" applyFont="1" applyBorder="1" applyAlignment="1">
      <alignment horizontal="center" vertical="center" wrapText="1"/>
    </xf>
    <xf numFmtId="0" fontId="78" fillId="0" borderId="0" xfId="8" applyFont="1"/>
    <xf numFmtId="0" fontId="44" fillId="0" borderId="0" xfId="8" applyFont="1"/>
    <xf numFmtId="165" fontId="32" fillId="0" borderId="15" xfId="0" applyNumberFormat="1" applyFont="1" applyBorder="1" applyAlignment="1">
      <alignment horizontal="right" vertical="center"/>
    </xf>
    <xf numFmtId="165" fontId="26" fillId="0" borderId="15" xfId="0" applyNumberFormat="1" applyFont="1" applyBorder="1" applyAlignment="1">
      <alignment horizontal="right" vertical="center"/>
    </xf>
    <xf numFmtId="0" fontId="74" fillId="0" borderId="16" xfId="8" applyFont="1" applyBorder="1" applyAlignment="1">
      <alignment horizontal="center" vertical="center"/>
    </xf>
    <xf numFmtId="0" fontId="75" fillId="0" borderId="16" xfId="8" applyFont="1" applyBorder="1" applyAlignment="1">
      <alignment horizontal="center" vertical="center" wrapText="1"/>
    </xf>
    <xf numFmtId="3" fontId="75" fillId="0" borderId="17" xfId="8" applyNumberFormat="1" applyFont="1" applyBorder="1" applyAlignment="1">
      <alignment horizontal="center" vertical="center" wrapText="1"/>
    </xf>
    <xf numFmtId="0" fontId="73" fillId="0" borderId="16" xfId="8" applyFont="1" applyBorder="1" applyAlignment="1">
      <alignment vertical="center" wrapText="1"/>
    </xf>
    <xf numFmtId="3" fontId="73" fillId="0" borderId="17" xfId="8" applyNumberFormat="1" applyFont="1" applyBorder="1" applyAlignment="1">
      <alignment vertical="center" wrapText="1"/>
    </xf>
    <xf numFmtId="0" fontId="73" fillId="0" borderId="17" xfId="8" applyFont="1" applyBorder="1" applyAlignment="1">
      <alignment vertical="center" wrapText="1"/>
    </xf>
    <xf numFmtId="0" fontId="73" fillId="0" borderId="16" xfId="8" applyFont="1" applyBorder="1" applyAlignment="1">
      <alignment horizontal="center" vertical="center" wrapText="1"/>
    </xf>
    <xf numFmtId="3" fontId="73" fillId="0" borderId="17" xfId="8" applyNumberFormat="1" applyFont="1" applyBorder="1" applyAlignment="1">
      <alignment horizontal="center" vertical="center" wrapText="1"/>
    </xf>
    <xf numFmtId="3" fontId="73" fillId="0" borderId="17" xfId="8" applyNumberFormat="1" applyFont="1" applyBorder="1" applyAlignment="1">
      <alignment horizontal="right" vertical="center" wrapText="1"/>
    </xf>
    <xf numFmtId="3" fontId="74" fillId="0" borderId="1" xfId="0" applyNumberFormat="1" applyFont="1" applyBorder="1" applyAlignment="1">
      <alignment horizontal="center" vertical="center" wrapText="1"/>
    </xf>
    <xf numFmtId="0" fontId="24" fillId="3" borderId="0" xfId="8" applyFont="1" applyFill="1"/>
    <xf numFmtId="0" fontId="77" fillId="3" borderId="0" xfId="8" applyFont="1" applyFill="1"/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31" fillId="0" borderId="0" xfId="3" applyFont="1" applyAlignment="1">
      <alignment horizontal="center" vertical="center"/>
    </xf>
    <xf numFmtId="49" fontId="30" fillId="0" borderId="0" xfId="8" applyNumberFormat="1" applyFont="1" applyAlignment="1">
      <alignment horizontal="center" vertical="center" wrapText="1"/>
    </xf>
    <xf numFmtId="0" fontId="73" fillId="0" borderId="15" xfId="8" applyFont="1" applyBorder="1" applyAlignment="1">
      <alignment horizontal="center" vertical="center"/>
    </xf>
    <xf numFmtId="0" fontId="72" fillId="0" borderId="18" xfId="8" applyFont="1" applyBorder="1" applyAlignment="1">
      <alignment horizontal="center" vertical="center"/>
    </xf>
    <xf numFmtId="0" fontId="75" fillId="0" borderId="15" xfId="8" applyFont="1" applyBorder="1" applyAlignment="1">
      <alignment horizontal="center" vertical="center"/>
    </xf>
    <xf numFmtId="0" fontId="30" fillId="0" borderId="18" xfId="8" applyFont="1" applyBorder="1" applyAlignment="1">
      <alignment horizontal="center" vertical="center"/>
    </xf>
    <xf numFmtId="0" fontId="24" fillId="0" borderId="18" xfId="8" applyFont="1" applyBorder="1" applyAlignment="1">
      <alignment vertical="center"/>
    </xf>
    <xf numFmtId="0" fontId="73" fillId="0" borderId="15" xfId="8" applyFont="1" applyBorder="1" applyAlignment="1">
      <alignment vertical="center"/>
    </xf>
    <xf numFmtId="0" fontId="76" fillId="0" borderId="18" xfId="8" applyFont="1" applyBorder="1" applyAlignment="1">
      <alignment vertical="center"/>
    </xf>
    <xf numFmtId="0" fontId="76" fillId="0" borderId="18" xfId="8" applyFont="1" applyBorder="1" applyAlignment="1">
      <alignment horizontal="center" vertical="center"/>
    </xf>
    <xf numFmtId="0" fontId="74" fillId="0" borderId="18" xfId="8" applyFont="1" applyBorder="1" applyAlignment="1">
      <alignment horizontal="center" vertical="center"/>
    </xf>
    <xf numFmtId="0" fontId="24" fillId="23" borderId="0" xfId="8" applyFont="1" applyFill="1"/>
    <xf numFmtId="0" fontId="27" fillId="0" borderId="0" xfId="8" applyFont="1"/>
    <xf numFmtId="0" fontId="24" fillId="0" borderId="1" xfId="8" applyFont="1" applyBorder="1"/>
    <xf numFmtId="0" fontId="72" fillId="0" borderId="1" xfId="8" applyFont="1" applyBorder="1" applyAlignment="1">
      <alignment vertical="center" wrapText="1"/>
    </xf>
    <xf numFmtId="0" fontId="72" fillId="0" borderId="0" xfId="8" applyFont="1" applyAlignment="1">
      <alignment vertical="center" wrapText="1"/>
    </xf>
    <xf numFmtId="0" fontId="27" fillId="0" borderId="0" xfId="8" applyFont="1" applyAlignment="1">
      <alignment horizontal="left" vertical="center"/>
    </xf>
    <xf numFmtId="0" fontId="74" fillId="0" borderId="16" xfId="8" applyFont="1" applyBorder="1" applyAlignment="1">
      <alignment vertical="center"/>
    </xf>
    <xf numFmtId="0" fontId="79" fillId="0" borderId="0" xfId="8" applyFont="1" applyAlignment="1">
      <alignment horizontal="left" vertical="center"/>
    </xf>
    <xf numFmtId="0" fontId="26" fillId="0" borderId="18" xfId="8" applyFont="1" applyBorder="1" applyAlignment="1">
      <alignment vertical="center" wrapText="1"/>
    </xf>
    <xf numFmtId="0" fontId="32" fillId="0" borderId="18" xfId="8" applyFont="1" applyBorder="1" applyAlignment="1">
      <alignment vertical="center" wrapText="1"/>
    </xf>
    <xf numFmtId="0" fontId="72" fillId="0" borderId="15" xfId="8" applyFont="1" applyBorder="1" applyAlignment="1">
      <alignment vertical="center"/>
    </xf>
    <xf numFmtId="0" fontId="74" fillId="0" borderId="18" xfId="8" applyFont="1" applyBorder="1" applyAlignment="1">
      <alignment vertical="center" wrapText="1"/>
    </xf>
    <xf numFmtId="0" fontId="72" fillId="0" borderId="18" xfId="8" applyFont="1" applyBorder="1" applyAlignment="1">
      <alignment vertical="center" wrapText="1"/>
    </xf>
    <xf numFmtId="0" fontId="75" fillId="0" borderId="16" xfId="8" applyFont="1" applyBorder="1" applyAlignment="1">
      <alignment vertical="center"/>
    </xf>
    <xf numFmtId="0" fontId="30" fillId="0" borderId="17" xfId="8" applyFont="1" applyBorder="1" applyAlignment="1">
      <alignment vertical="center"/>
    </xf>
    <xf numFmtId="0" fontId="75" fillId="0" borderId="17" xfId="8" applyFont="1" applyBorder="1" applyAlignment="1">
      <alignment vertical="center"/>
    </xf>
    <xf numFmtId="0" fontId="73" fillId="0" borderId="16" xfId="8" applyFont="1" applyBorder="1" applyAlignment="1">
      <alignment vertical="center"/>
    </xf>
    <xf numFmtId="0" fontId="76" fillId="0" borderId="17" xfId="8" applyFont="1" applyBorder="1" applyAlignment="1">
      <alignment vertical="center"/>
    </xf>
    <xf numFmtId="0" fontId="74" fillId="0" borderId="17" xfId="8" applyFont="1" applyBorder="1" applyAlignment="1">
      <alignment vertical="center"/>
    </xf>
    <xf numFmtId="0" fontId="26" fillId="0" borderId="22" xfId="8" applyFont="1" applyBorder="1" applyAlignment="1">
      <alignment horizontal="left" vertical="center" wrapText="1"/>
    </xf>
    <xf numFmtId="0" fontId="32" fillId="0" borderId="23" xfId="8" applyFont="1" applyBorder="1" applyAlignment="1">
      <alignment horizontal="left" vertical="center" wrapText="1"/>
    </xf>
    <xf numFmtId="0" fontId="24" fillId="0" borderId="15" xfId="8" applyFont="1" applyBorder="1"/>
    <xf numFmtId="0" fontId="32" fillId="0" borderId="0" xfId="8" applyFont="1" applyAlignment="1">
      <alignment vertical="center" wrapText="1"/>
    </xf>
    <xf numFmtId="0" fontId="24" fillId="0" borderId="0" xfId="8" applyFont="1" applyAlignment="1">
      <alignment vertical="center"/>
    </xf>
    <xf numFmtId="0" fontId="79" fillId="0" borderId="1" xfId="8" applyFont="1" applyBorder="1" applyAlignment="1">
      <alignment horizontal="left" vertical="center"/>
    </xf>
    <xf numFmtId="0" fontId="32" fillId="0" borderId="1" xfId="8" applyFont="1" applyBorder="1" applyAlignment="1">
      <alignment vertical="center" wrapText="1"/>
    </xf>
    <xf numFmtId="0" fontId="80" fillId="0" borderId="0" xfId="0" applyFont="1" applyAlignment="1">
      <alignment vertical="center"/>
    </xf>
    <xf numFmtId="0" fontId="72" fillId="0" borderId="1" xfId="8" applyFont="1" applyBorder="1" applyAlignment="1">
      <alignment horizontal="center" vertical="center" wrapText="1"/>
    </xf>
    <xf numFmtId="3" fontId="72" fillId="0" borderId="1" xfId="8" applyNumberFormat="1" applyFont="1" applyBorder="1" applyAlignment="1">
      <alignment horizontal="center" vertical="center"/>
    </xf>
    <xf numFmtId="49" fontId="32" fillId="0" borderId="1" xfId="8" applyNumberFormat="1" applyFont="1" applyBorder="1" applyAlignment="1">
      <alignment horizontal="center" vertical="center"/>
    </xf>
    <xf numFmtId="10" fontId="72" fillId="0" borderId="1" xfId="8" applyNumberFormat="1" applyFont="1" applyBorder="1" applyAlignment="1">
      <alignment horizontal="center" vertical="center"/>
    </xf>
    <xf numFmtId="3" fontId="32" fillId="0" borderId="1" xfId="8" applyNumberFormat="1" applyFont="1" applyBorder="1" applyAlignment="1">
      <alignment horizontal="center" vertical="center"/>
    </xf>
    <xf numFmtId="3" fontId="72" fillId="0" borderId="0" xfId="8" applyNumberFormat="1" applyFont="1" applyAlignment="1">
      <alignment horizontal="center" vertical="center"/>
    </xf>
    <xf numFmtId="168" fontId="72" fillId="0" borderId="17" xfId="8" applyNumberFormat="1" applyFont="1" applyBorder="1" applyAlignment="1">
      <alignment horizontal="center" vertical="center"/>
    </xf>
    <xf numFmtId="165" fontId="72" fillId="0" borderId="17" xfId="8" applyNumberFormat="1" applyFont="1" applyBorder="1" applyAlignment="1">
      <alignment horizontal="center" vertical="center"/>
    </xf>
    <xf numFmtId="176" fontId="72" fillId="0" borderId="17" xfId="8" applyNumberFormat="1" applyFont="1" applyBorder="1" applyAlignment="1">
      <alignment horizontal="center" vertical="center"/>
    </xf>
    <xf numFmtId="1" fontId="32" fillId="0" borderId="18" xfId="8" applyNumberFormat="1" applyFont="1" applyBorder="1" applyAlignment="1">
      <alignment horizontal="center" vertical="center" wrapText="1"/>
    </xf>
    <xf numFmtId="168" fontId="32" fillId="0" borderId="18" xfId="8" applyNumberFormat="1" applyFont="1" applyBorder="1" applyAlignment="1">
      <alignment horizontal="center" vertical="center" wrapText="1"/>
    </xf>
    <xf numFmtId="0" fontId="32" fillId="0" borderId="18" xfId="8" applyFont="1" applyBorder="1" applyAlignment="1">
      <alignment horizontal="center" vertical="center" wrapText="1"/>
    </xf>
    <xf numFmtId="9" fontId="72" fillId="0" borderId="17" xfId="8" applyNumberFormat="1" applyFont="1" applyBorder="1" applyAlignment="1">
      <alignment horizontal="center" vertical="center"/>
    </xf>
    <xf numFmtId="3" fontId="72" fillId="0" borderId="17" xfId="8" applyNumberFormat="1" applyFont="1" applyBorder="1" applyAlignment="1">
      <alignment horizontal="center" vertical="center" wrapText="1"/>
    </xf>
    <xf numFmtId="3" fontId="74" fillId="0" borderId="17" xfId="8" applyNumberFormat="1" applyFont="1" applyBorder="1" applyAlignment="1">
      <alignment horizontal="center" vertical="center" wrapText="1"/>
    </xf>
    <xf numFmtId="9" fontId="72" fillId="20" borderId="17" xfId="8" applyNumberFormat="1" applyFont="1" applyFill="1" applyBorder="1" applyAlignment="1">
      <alignment horizontal="center" vertical="center"/>
    </xf>
    <xf numFmtId="0" fontId="24" fillId="7" borderId="0" xfId="0" applyFont="1" applyFill="1" applyAlignment="1">
      <alignment horizontal="left" vertical="center"/>
    </xf>
    <xf numFmtId="0" fontId="24" fillId="7" borderId="0" xfId="0" applyFont="1" applyFill="1"/>
    <xf numFmtId="0" fontId="44" fillId="7" borderId="0" xfId="0" applyFont="1" applyFill="1"/>
    <xf numFmtId="0" fontId="69" fillId="7" borderId="0" xfId="0" applyFont="1" applyFill="1"/>
    <xf numFmtId="0" fontId="40" fillId="6" borderId="0" xfId="0" applyFont="1" applyFill="1"/>
    <xf numFmtId="0" fontId="81" fillId="6" borderId="0" xfId="3" applyFont="1" applyFill="1" applyAlignment="1">
      <alignment horizontal="center"/>
    </xf>
    <xf numFmtId="165" fontId="34" fillId="0" borderId="1" xfId="0" applyNumberFormat="1" applyFont="1" applyBorder="1" applyAlignment="1">
      <alignment horizontal="center" vertical="center"/>
    </xf>
    <xf numFmtId="165" fontId="51" fillId="0" borderId="0" xfId="0" applyNumberFormat="1" applyFont="1" applyAlignment="1">
      <alignment vertical="center"/>
    </xf>
    <xf numFmtId="165" fontId="34" fillId="0" borderId="0" xfId="0" applyNumberFormat="1" applyFont="1" applyAlignment="1">
      <alignment vertical="center"/>
    </xf>
    <xf numFmtId="165" fontId="27" fillId="0" borderId="5" xfId="0" applyNumberFormat="1" applyFont="1" applyBorder="1"/>
    <xf numFmtId="9" fontId="24" fillId="0" borderId="3" xfId="0" applyNumberFormat="1" applyFont="1" applyBorder="1" applyAlignment="1">
      <alignment horizontal="center" vertical="center"/>
    </xf>
    <xf numFmtId="165" fontId="24" fillId="0" borderId="8" xfId="0" applyNumberFormat="1" applyFont="1" applyBorder="1"/>
    <xf numFmtId="165" fontId="24" fillId="0" borderId="0" xfId="0" applyNumberFormat="1" applyFont="1"/>
    <xf numFmtId="0" fontId="24" fillId="3" borderId="0" xfId="0" applyFont="1" applyFill="1" applyAlignment="1">
      <alignment textRotation="90"/>
    </xf>
    <xf numFmtId="165" fontId="34" fillId="0" borderId="0" xfId="0" applyNumberFormat="1" applyFont="1" applyAlignment="1">
      <alignment horizontal="center" vertical="center"/>
    </xf>
    <xf numFmtId="0" fontId="31" fillId="0" borderId="1" xfId="3" applyFont="1" applyBorder="1" applyAlignment="1">
      <alignment horizontal="center"/>
    </xf>
    <xf numFmtId="0" fontId="27" fillId="0" borderId="0" xfId="0" applyFont="1" applyAlignment="1">
      <alignment vertical="center" wrapText="1"/>
    </xf>
    <xf numFmtId="0" fontId="24" fillId="0" borderId="8" xfId="0" applyFont="1" applyBorder="1" applyAlignment="1">
      <alignment horizontal="left" vertical="center" wrapText="1" indent="1"/>
    </xf>
    <xf numFmtId="0" fontId="27" fillId="0" borderId="4" xfId="0" applyFont="1" applyBorder="1" applyAlignment="1">
      <alignment vertical="center" wrapText="1"/>
    </xf>
    <xf numFmtId="0" fontId="54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31" fillId="0" borderId="0" xfId="3" applyFont="1"/>
    <xf numFmtId="0" fontId="82" fillId="0" borderId="1" xfId="0" applyFont="1" applyBorder="1"/>
    <xf numFmtId="0" fontId="82" fillId="0" borderId="0" xfId="0" applyFont="1"/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1" xfId="0" applyFont="1" applyBorder="1" applyAlignment="1">
      <alignment horizontal="center" vertical="center"/>
    </xf>
    <xf numFmtId="0" fontId="69" fillId="0" borderId="1" xfId="0" applyFont="1" applyBorder="1"/>
    <xf numFmtId="0" fontId="83" fillId="0" borderId="0" xfId="0" applyFont="1" applyAlignment="1">
      <alignment horizontal="center"/>
    </xf>
    <xf numFmtId="165" fontId="51" fillId="0" borderId="1" xfId="0" applyNumberFormat="1" applyFont="1" applyBorder="1" applyAlignment="1">
      <alignment horizontal="right" vertical="center"/>
    </xf>
    <xf numFmtId="9" fontId="27" fillId="0" borderId="3" xfId="0" applyNumberFormat="1" applyFont="1" applyBorder="1" applyAlignment="1">
      <alignment horizontal="center" vertical="center"/>
    </xf>
    <xf numFmtId="165" fontId="51" fillId="0" borderId="1" xfId="0" applyNumberFormat="1" applyFont="1" applyBorder="1" applyAlignment="1">
      <alignment vertical="center"/>
    </xf>
    <xf numFmtId="0" fontId="27" fillId="0" borderId="1" xfId="0" applyFont="1" applyBorder="1"/>
    <xf numFmtId="0" fontId="24" fillId="0" borderId="7" xfId="0" applyFont="1" applyBorder="1"/>
    <xf numFmtId="49" fontId="27" fillId="6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right" vertical="center" wrapText="1"/>
    </xf>
    <xf numFmtId="165" fontId="34" fillId="0" borderId="4" xfId="0" applyNumberFormat="1" applyFont="1" applyBorder="1" applyAlignment="1">
      <alignment vertical="center"/>
    </xf>
    <xf numFmtId="0" fontId="29" fillId="6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6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/>
    </xf>
    <xf numFmtId="0" fontId="84" fillId="0" borderId="1" xfId="0" applyFont="1" applyBorder="1" applyAlignment="1">
      <alignment vertical="center"/>
    </xf>
    <xf numFmtId="0" fontId="24" fillId="5" borderId="4" xfId="0" applyFont="1" applyFill="1" applyBorder="1" applyAlignment="1">
      <alignment horizontal="left" vertical="top"/>
    </xf>
    <xf numFmtId="0" fontId="59" fillId="0" borderId="0" xfId="0" applyFont="1"/>
    <xf numFmtId="49" fontId="83" fillId="6" borderId="1" xfId="0" applyNumberFormat="1" applyFont="1" applyFill="1" applyBorder="1" applyAlignment="1">
      <alignment horizontal="center" vertical="center"/>
    </xf>
    <xf numFmtId="0" fontId="69" fillId="0" borderId="4" xfId="0" applyFont="1" applyBorder="1" applyAlignment="1">
      <alignment horizontal="center"/>
    </xf>
    <xf numFmtId="165" fontId="51" fillId="0" borderId="6" xfId="0" applyNumberFormat="1" applyFont="1" applyBorder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165" fontId="24" fillId="0" borderId="6" xfId="0" applyNumberFormat="1" applyFont="1" applyBorder="1" applyAlignment="1">
      <alignment horizontal="right" vertical="center"/>
    </xf>
    <xf numFmtId="3" fontId="27" fillId="0" borderId="6" xfId="0" applyNumberFormat="1" applyFont="1" applyBorder="1" applyAlignment="1">
      <alignment horizontal="right" vertical="center" wrapText="1"/>
    </xf>
    <xf numFmtId="0" fontId="30" fillId="0" borderId="0" xfId="0" applyFont="1"/>
    <xf numFmtId="165" fontId="39" fillId="0" borderId="1" xfId="0" applyNumberFormat="1" applyFont="1" applyBorder="1" applyAlignment="1">
      <alignment vertical="center"/>
    </xf>
    <xf numFmtId="165" fontId="71" fillId="7" borderId="4" xfId="0" applyNumberFormat="1" applyFont="1" applyFill="1" applyBorder="1" applyAlignment="1">
      <alignment vertical="center"/>
    </xf>
    <xf numFmtId="165" fontId="39" fillId="0" borderId="3" xfId="0" applyNumberFormat="1" applyFont="1" applyBorder="1" applyAlignment="1">
      <alignment vertical="center"/>
    </xf>
    <xf numFmtId="165" fontId="30" fillId="0" borderId="1" xfId="0" applyNumberFormat="1" applyFont="1" applyBorder="1"/>
    <xf numFmtId="0" fontId="27" fillId="3" borderId="1" xfId="0" applyFont="1" applyFill="1" applyBorder="1" applyAlignment="1">
      <alignment horizontal="center"/>
    </xf>
    <xf numFmtId="39" fontId="51" fillId="3" borderId="4" xfId="2" applyNumberFormat="1" applyFont="1" applyFill="1" applyBorder="1" applyAlignment="1" applyProtection="1">
      <alignment horizontal="left" vertical="top" wrapText="1"/>
    </xf>
    <xf numFmtId="0" fontId="30" fillId="0" borderId="1" xfId="0" applyFont="1" applyBorder="1"/>
    <xf numFmtId="39" fontId="51" fillId="3" borderId="1" xfId="2" applyNumberFormat="1" applyFont="1" applyFill="1" applyBorder="1" applyAlignment="1" applyProtection="1">
      <alignment horizontal="left" vertical="top" wrapText="1"/>
    </xf>
    <xf numFmtId="39" fontId="34" fillId="2" borderId="1" xfId="2" applyNumberFormat="1" applyFont="1" applyFill="1" applyBorder="1" applyAlignment="1" applyProtection="1">
      <alignment horizontal="left" vertical="top" wrapText="1"/>
    </xf>
    <xf numFmtId="0" fontId="32" fillId="2" borderId="3" xfId="0" applyFont="1" applyFill="1" applyBorder="1" applyAlignment="1">
      <alignment wrapText="1"/>
    </xf>
    <xf numFmtId="0" fontId="30" fillId="0" borderId="1" xfId="0" applyFont="1" applyBorder="1" applyAlignment="1">
      <alignment wrapText="1"/>
    </xf>
    <xf numFmtId="0" fontId="47" fillId="0" borderId="0" xfId="0" applyFont="1" applyAlignment="1">
      <alignment horizontal="center"/>
    </xf>
    <xf numFmtId="0" fontId="47" fillId="2" borderId="3" xfId="0" applyFont="1" applyFill="1" applyBorder="1" applyAlignment="1">
      <alignment horizontal="center"/>
    </xf>
    <xf numFmtId="0" fontId="47" fillId="0" borderId="3" xfId="0" applyFont="1" applyBorder="1" applyAlignment="1">
      <alignment horizontal="center"/>
    </xf>
    <xf numFmtId="165" fontId="82" fillId="0" borderId="8" xfId="0" applyNumberFormat="1" applyFont="1" applyBorder="1" applyAlignment="1">
      <alignment horizontal="center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3" applyFont="1" applyBorder="1" applyAlignment="1"/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47" fillId="20" borderId="0" xfId="0" applyFont="1" applyFill="1"/>
    <xf numFmtId="0" fontId="24" fillId="19" borderId="1" xfId="0" applyFont="1" applyFill="1" applyBorder="1" applyAlignment="1">
      <alignment horizontal="right"/>
    </xf>
    <xf numFmtId="0" fontId="24" fillId="20" borderId="0" xfId="0" applyFont="1" applyFill="1"/>
    <xf numFmtId="0" fontId="49" fillId="0" borderId="0" xfId="0" applyFont="1"/>
    <xf numFmtId="0" fontId="54" fillId="0" borderId="0" xfId="0" applyFont="1"/>
    <xf numFmtId="0" fontId="24" fillId="20" borderId="0" xfId="0" applyFont="1" applyFill="1" applyAlignment="1">
      <alignment horizontal="right"/>
    </xf>
    <xf numFmtId="0" fontId="24" fillId="20" borderId="1" xfId="0" applyFont="1" applyFill="1" applyBorder="1"/>
    <xf numFmtId="0" fontId="24" fillId="19" borderId="0" xfId="0" applyFont="1" applyFill="1"/>
    <xf numFmtId="0" fontId="24" fillId="16" borderId="0" xfId="0" applyFont="1" applyFill="1" applyAlignment="1">
      <alignment horizontal="right" vertical="center"/>
    </xf>
    <xf numFmtId="165" fontId="34" fillId="0" borderId="7" xfId="0" applyNumberFormat="1" applyFont="1" applyBorder="1" applyAlignment="1">
      <alignment vertical="center"/>
    </xf>
    <xf numFmtId="0" fontId="37" fillId="11" borderId="0" xfId="0" applyFont="1" applyFill="1"/>
    <xf numFmtId="0" fontId="85" fillId="0" borderId="0" xfId="0" applyFont="1" applyAlignment="1">
      <alignment horizontal="center"/>
    </xf>
    <xf numFmtId="171" fontId="86" fillId="0" borderId="1" xfId="0" applyNumberFormat="1" applyFont="1" applyBorder="1" applyAlignment="1">
      <alignment horizontal="center" vertical="center"/>
    </xf>
    <xf numFmtId="9" fontId="34" fillId="0" borderId="1" xfId="0" applyNumberFormat="1" applyFont="1" applyBorder="1" applyAlignment="1">
      <alignment vertical="center"/>
    </xf>
    <xf numFmtId="165" fontId="34" fillId="3" borderId="1" xfId="0" applyNumberFormat="1" applyFont="1" applyFill="1" applyBorder="1" applyAlignment="1">
      <alignment vertical="center"/>
    </xf>
    <xf numFmtId="165" fontId="39" fillId="11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24" fillId="20" borderId="0" xfId="0" applyFont="1" applyFill="1" applyAlignment="1">
      <alignment horizontal="right" vertical="center"/>
    </xf>
    <xf numFmtId="0" fontId="24" fillId="20" borderId="1" xfId="0" applyFont="1" applyFill="1" applyBorder="1" applyAlignment="1">
      <alignment horizontal="right"/>
    </xf>
    <xf numFmtId="165" fontId="27" fillId="19" borderId="1" xfId="0" applyNumberFormat="1" applyFont="1" applyFill="1" applyBorder="1"/>
    <xf numFmtId="9" fontId="24" fillId="20" borderId="1" xfId="0" applyNumberFormat="1" applyFont="1" applyFill="1" applyBorder="1"/>
    <xf numFmtId="9" fontId="24" fillId="20" borderId="8" xfId="0" applyNumberFormat="1" applyFont="1" applyFill="1" applyBorder="1"/>
    <xf numFmtId="9" fontId="27" fillId="0" borderId="30" xfId="0" applyNumberFormat="1" applyFont="1" applyBorder="1"/>
    <xf numFmtId="9" fontId="24" fillId="20" borderId="3" xfId="0" applyNumberFormat="1" applyFont="1" applyFill="1" applyBorder="1"/>
    <xf numFmtId="9" fontId="27" fillId="19" borderId="1" xfId="0" applyNumberFormat="1" applyFont="1" applyFill="1" applyBorder="1"/>
    <xf numFmtId="0" fontId="24" fillId="16" borderId="0" xfId="0" applyFont="1" applyFill="1"/>
    <xf numFmtId="9" fontId="24" fillId="16" borderId="1" xfId="0" applyNumberFormat="1" applyFont="1" applyFill="1" applyBorder="1"/>
    <xf numFmtId="165" fontId="24" fillId="0" borderId="31" xfId="0" applyNumberFormat="1" applyFont="1" applyBorder="1"/>
    <xf numFmtId="165" fontId="24" fillId="0" borderId="3" xfId="0" applyNumberFormat="1" applyFont="1" applyBorder="1"/>
    <xf numFmtId="9" fontId="24" fillId="16" borderId="9" xfId="0" applyNumberFormat="1" applyFont="1" applyFill="1" applyBorder="1"/>
    <xf numFmtId="165" fontId="24" fillId="0" borderId="9" xfId="0" applyNumberFormat="1" applyFont="1" applyBorder="1"/>
    <xf numFmtId="165" fontId="24" fillId="0" borderId="25" xfId="0" applyNumberFormat="1" applyFont="1" applyBorder="1"/>
    <xf numFmtId="165" fontId="24" fillId="0" borderId="33" xfId="0" applyNumberFormat="1" applyFont="1" applyBorder="1"/>
    <xf numFmtId="165" fontId="24" fillId="0" borderId="26" xfId="0" applyNumberFormat="1" applyFont="1" applyBorder="1"/>
    <xf numFmtId="9" fontId="27" fillId="0" borderId="35" xfId="0" applyNumberFormat="1" applyFont="1" applyBorder="1"/>
    <xf numFmtId="165" fontId="24" fillId="0" borderId="36" xfId="0" applyNumberFormat="1" applyFont="1" applyBorder="1"/>
    <xf numFmtId="165" fontId="24" fillId="0" borderId="37" xfId="0" applyNumberFormat="1" applyFont="1" applyBorder="1"/>
    <xf numFmtId="165" fontId="27" fillId="0" borderId="29" xfId="0" applyNumberFormat="1" applyFont="1" applyBorder="1"/>
    <xf numFmtId="165" fontId="24" fillId="0" borderId="38" xfId="0" applyNumberFormat="1" applyFont="1" applyBorder="1"/>
    <xf numFmtId="165" fontId="24" fillId="0" borderId="39" xfId="0" applyNumberFormat="1" applyFont="1" applyBorder="1"/>
    <xf numFmtId="9" fontId="24" fillId="16" borderId="6" xfId="0" applyNumberFormat="1" applyFont="1" applyFill="1" applyBorder="1"/>
    <xf numFmtId="165" fontId="24" fillId="0" borderId="6" xfId="0" applyNumberFormat="1" applyFont="1" applyBorder="1"/>
    <xf numFmtId="165" fontId="24" fillId="0" borderId="27" xfId="0" applyNumberFormat="1" applyFont="1" applyBorder="1"/>
    <xf numFmtId="165" fontId="24" fillId="0" borderId="34" xfId="0" applyNumberFormat="1" applyFont="1" applyBorder="1"/>
    <xf numFmtId="165" fontId="24" fillId="0" borderId="28" xfId="0" applyNumberFormat="1" applyFont="1" applyBorder="1"/>
    <xf numFmtId="165" fontId="24" fillId="0" borderId="1" xfId="0" applyNumberFormat="1" applyFont="1" applyBorder="1" applyAlignment="1">
      <alignment vertical="center"/>
    </xf>
    <xf numFmtId="165" fontId="24" fillId="0" borderId="8" xfId="0" applyNumberFormat="1" applyFont="1" applyBorder="1" applyAlignment="1">
      <alignment vertical="center"/>
    </xf>
    <xf numFmtId="165" fontId="24" fillId="0" borderId="31" xfId="0" applyNumberFormat="1" applyFont="1" applyBorder="1" applyAlignment="1">
      <alignment vertical="center"/>
    </xf>
    <xf numFmtId="165" fontId="24" fillId="0" borderId="3" xfId="0" applyNumberFormat="1" applyFont="1" applyBorder="1" applyAlignment="1">
      <alignment vertical="center"/>
    </xf>
    <xf numFmtId="165" fontId="24" fillId="0" borderId="32" xfId="0" applyNumberFormat="1" applyFont="1" applyBorder="1" applyAlignment="1">
      <alignment vertical="center"/>
    </xf>
    <xf numFmtId="49" fontId="30" fillId="3" borderId="0" xfId="0" applyNumberFormat="1" applyFont="1" applyFill="1" applyAlignment="1">
      <alignment horizontal="center" vertical="center" wrapText="1"/>
    </xf>
    <xf numFmtId="9" fontId="24" fillId="3" borderId="1" xfId="0" applyNumberFormat="1" applyFont="1" applyFill="1" applyBorder="1" applyAlignment="1">
      <alignment horizontal="center" vertical="center"/>
    </xf>
    <xf numFmtId="49" fontId="30" fillId="11" borderId="0" xfId="0" applyNumberFormat="1" applyFont="1" applyFill="1" applyAlignment="1">
      <alignment horizontal="center" vertical="center" wrapText="1"/>
    </xf>
    <xf numFmtId="9" fontId="24" fillId="11" borderId="1" xfId="0" applyNumberFormat="1" applyFont="1" applyFill="1" applyBorder="1" applyAlignment="1">
      <alignment horizontal="center" vertical="center"/>
    </xf>
    <xf numFmtId="165" fontId="86" fillId="0" borderId="0" xfId="0" applyNumberFormat="1" applyFont="1" applyAlignment="1">
      <alignment vertical="center"/>
    </xf>
    <xf numFmtId="165" fontId="86" fillId="0" borderId="0" xfId="0" applyNumberFormat="1" applyFont="1"/>
    <xf numFmtId="0" fontId="86" fillId="0" borderId="0" xfId="0" applyFont="1" applyAlignment="1">
      <alignment vertical="center"/>
    </xf>
    <xf numFmtId="9" fontId="24" fillId="0" borderId="3" xfId="0" applyNumberFormat="1" applyFont="1" applyBorder="1"/>
    <xf numFmtId="165" fontId="27" fillId="0" borderId="6" xfId="0" applyNumberFormat="1" applyFont="1" applyBorder="1"/>
    <xf numFmtId="165" fontId="27" fillId="0" borderId="27" xfId="0" applyNumberFormat="1" applyFont="1" applyBorder="1"/>
    <xf numFmtId="1" fontId="54" fillId="19" borderId="0" xfId="0" applyNumberFormat="1" applyFont="1" applyFill="1" applyAlignment="1">
      <alignment horizontal="left"/>
    </xf>
    <xf numFmtId="49" fontId="34" fillId="0" borderId="1" xfId="0" applyNumberFormat="1" applyFont="1" applyBorder="1" applyAlignment="1">
      <alignment vertical="center"/>
    </xf>
    <xf numFmtId="0" fontId="66" fillId="0" borderId="1" xfId="0" applyFont="1" applyBorder="1"/>
    <xf numFmtId="0" fontId="31" fillId="0" borderId="0" xfId="3" applyFont="1" applyAlignment="1">
      <alignment horizontal="center"/>
    </xf>
    <xf numFmtId="0" fontId="46" fillId="11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49" fillId="0" borderId="1" xfId="0" applyFont="1" applyBorder="1"/>
    <xf numFmtId="0" fontId="54" fillId="11" borderId="0" xfId="0" applyFont="1" applyFill="1"/>
    <xf numFmtId="1" fontId="54" fillId="19" borderId="0" xfId="0" applyNumberFormat="1" applyFont="1" applyFill="1" applyAlignment="1">
      <alignment horizontal="left" wrapText="1"/>
    </xf>
    <xf numFmtId="49" fontId="34" fillId="19" borderId="1" xfId="0" applyNumberFormat="1" applyFont="1" applyFill="1" applyBorder="1" applyAlignment="1">
      <alignment vertical="center" wrapText="1"/>
    </xf>
    <xf numFmtId="0" fontId="24" fillId="0" borderId="7" xfId="0" applyFont="1" applyBorder="1" applyAlignment="1">
      <alignment wrapText="1"/>
    </xf>
    <xf numFmtId="0" fontId="37" fillId="11" borderId="0" xfId="0" applyFont="1" applyFill="1" applyAlignment="1">
      <alignment wrapText="1"/>
    </xf>
    <xf numFmtId="0" fontId="86" fillId="0" borderId="1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center" wrapText="1"/>
    </xf>
    <xf numFmtId="0" fontId="24" fillId="16" borderId="1" xfId="0" applyFont="1" applyFill="1" applyBorder="1" applyAlignment="1">
      <alignment vertical="center" wrapText="1"/>
    </xf>
    <xf numFmtId="0" fontId="24" fillId="5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wrapText="1"/>
    </xf>
    <xf numFmtId="0" fontId="24" fillId="16" borderId="1" xfId="0" applyFont="1" applyFill="1" applyBorder="1" applyAlignment="1">
      <alignment horizontal="left" vertical="top" wrapText="1"/>
    </xf>
    <xf numFmtId="0" fontId="84" fillId="0" borderId="1" xfId="0" applyFont="1" applyBorder="1" applyAlignment="1">
      <alignment vertical="center" wrapText="1"/>
    </xf>
    <xf numFmtId="0" fontId="24" fillId="5" borderId="4" xfId="0" applyFont="1" applyFill="1" applyBorder="1" applyAlignment="1">
      <alignment horizontal="left" vertical="top" wrapText="1"/>
    </xf>
    <xf numFmtId="0" fontId="24" fillId="11" borderId="0" xfId="0" applyFont="1" applyFill="1" applyAlignment="1">
      <alignment wrapText="1"/>
    </xf>
    <xf numFmtId="1" fontId="29" fillId="19" borderId="1" xfId="0" applyNumberFormat="1" applyFont="1" applyFill="1" applyBorder="1" applyAlignment="1">
      <alignment horizontal="center"/>
    </xf>
    <xf numFmtId="0" fontId="47" fillId="19" borderId="1" xfId="0" applyFont="1" applyFill="1" applyBorder="1" applyAlignment="1">
      <alignment horizontal="center" vertical="center"/>
    </xf>
    <xf numFmtId="0" fontId="47" fillId="0" borderId="7" xfId="0" applyFont="1" applyBorder="1"/>
    <xf numFmtId="0" fontId="88" fillId="11" borderId="0" xfId="0" applyFont="1" applyFill="1"/>
    <xf numFmtId="0" fontId="89" fillId="0" borderId="1" xfId="0" applyFont="1" applyBorder="1"/>
    <xf numFmtId="0" fontId="47" fillId="11" borderId="0" xfId="0" applyFont="1" applyFill="1"/>
    <xf numFmtId="1" fontId="29" fillId="19" borderId="0" xfId="0" applyNumberFormat="1" applyFont="1" applyFill="1" applyAlignment="1">
      <alignment horizontal="center"/>
    </xf>
    <xf numFmtId="9" fontId="24" fillId="20" borderId="0" xfId="0" applyNumberFormat="1" applyFont="1" applyFill="1" applyAlignment="1">
      <alignment horizontal="right" vertical="center"/>
    </xf>
    <xf numFmtId="0" fontId="24" fillId="20" borderId="0" xfId="0" applyFont="1" applyFill="1" applyAlignment="1">
      <alignment wrapText="1"/>
    </xf>
    <xf numFmtId="0" fontId="24" fillId="19" borderId="1" xfId="0" applyFont="1" applyFill="1" applyBorder="1" applyAlignment="1">
      <alignment horizontal="left" vertical="top" wrapText="1"/>
    </xf>
    <xf numFmtId="9" fontId="24" fillId="0" borderId="1" xfId="0" applyNumberFormat="1" applyFont="1" applyBorder="1" applyAlignment="1">
      <alignment horizontal="center" vertical="center"/>
    </xf>
    <xf numFmtId="0" fontId="24" fillId="11" borderId="0" xfId="0" applyFont="1" applyFill="1"/>
    <xf numFmtId="165" fontId="51" fillId="11" borderId="1" xfId="0" applyNumberFormat="1" applyFont="1" applyFill="1" applyBorder="1" applyAlignment="1">
      <alignment vertical="center" wrapText="1"/>
    </xf>
    <xf numFmtId="165" fontId="51" fillId="0" borderId="8" xfId="0" applyNumberFormat="1" applyFont="1" applyBorder="1" applyAlignment="1">
      <alignment vertical="center" wrapText="1"/>
    </xf>
    <xf numFmtId="165" fontId="51" fillId="7" borderId="5" xfId="0" applyNumberFormat="1" applyFont="1" applyFill="1" applyBorder="1" applyAlignment="1">
      <alignment vertical="center"/>
    </xf>
    <xf numFmtId="165" fontId="51" fillId="7" borderId="8" xfId="0" applyNumberFormat="1" applyFont="1" applyFill="1" applyBorder="1" applyAlignment="1">
      <alignment vertical="center"/>
    </xf>
    <xf numFmtId="165" fontId="51" fillId="0" borderId="1" xfId="0" applyNumberFormat="1" applyFont="1" applyBorder="1" applyAlignment="1">
      <alignment vertical="center" wrapText="1"/>
    </xf>
    <xf numFmtId="165" fontId="34" fillId="7" borderId="1" xfId="0" applyNumberFormat="1" applyFont="1" applyFill="1" applyBorder="1" applyAlignment="1">
      <alignment vertical="center"/>
    </xf>
    <xf numFmtId="165" fontId="24" fillId="0" borderId="5" xfId="0" applyNumberFormat="1" applyFont="1" applyBorder="1"/>
    <xf numFmtId="165" fontId="24" fillId="0" borderId="12" xfId="0" applyNumberFormat="1" applyFont="1" applyBorder="1"/>
    <xf numFmtId="173" fontId="24" fillId="0" borderId="12" xfId="0" applyNumberFormat="1" applyFont="1" applyBorder="1" applyAlignment="1">
      <alignment horizontal="center" vertical="center"/>
    </xf>
    <xf numFmtId="165" fontId="51" fillId="11" borderId="1" xfId="0" applyNumberFormat="1" applyFont="1" applyFill="1" applyBorder="1" applyAlignment="1">
      <alignment vertical="center"/>
    </xf>
    <xf numFmtId="165" fontId="51" fillId="7" borderId="1" xfId="0" applyNumberFormat="1" applyFont="1" applyFill="1" applyBorder="1" applyAlignment="1">
      <alignment vertical="center" wrapText="1"/>
    </xf>
    <xf numFmtId="0" fontId="24" fillId="0" borderId="5" xfId="0" applyFont="1" applyBorder="1"/>
    <xf numFmtId="0" fontId="24" fillId="0" borderId="12" xfId="0" applyFont="1" applyBorder="1"/>
    <xf numFmtId="0" fontId="31" fillId="0" borderId="12" xfId="3" applyFont="1" applyBorder="1" applyAlignment="1">
      <alignment horizontal="center" vertical="center"/>
    </xf>
    <xf numFmtId="0" fontId="27" fillId="0" borderId="12" xfId="0" applyFont="1" applyBorder="1" applyAlignment="1">
      <alignment wrapText="1"/>
    </xf>
    <xf numFmtId="0" fontId="59" fillId="0" borderId="0" xfId="0" applyFont="1" applyAlignment="1">
      <alignment horizontal="left"/>
    </xf>
    <xf numFmtId="0" fontId="24" fillId="0" borderId="5" xfId="0" applyFont="1" applyBorder="1" applyAlignment="1">
      <alignment wrapText="1"/>
    </xf>
    <xf numFmtId="0" fontId="51" fillId="7" borderId="1" xfId="0" applyFont="1" applyFill="1" applyBorder="1" applyAlignment="1">
      <alignment vertical="center"/>
    </xf>
    <xf numFmtId="0" fontId="24" fillId="0" borderId="12" xfId="0" applyFont="1" applyBorder="1" applyAlignment="1">
      <alignment wrapText="1"/>
    </xf>
    <xf numFmtId="165" fontId="51" fillId="0" borderId="13" xfId="0" applyNumberFormat="1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165" fontId="27" fillId="0" borderId="13" xfId="0" applyNumberFormat="1" applyFont="1" applyBorder="1" applyAlignment="1">
      <alignment horizontal="center" vertical="center"/>
    </xf>
    <xf numFmtId="165" fontId="90" fillId="0" borderId="1" xfId="0" applyNumberFormat="1" applyFont="1" applyBorder="1"/>
    <xf numFmtId="165" fontId="49" fillId="0" borderId="1" xfId="0" applyNumberFormat="1" applyFont="1" applyBorder="1"/>
    <xf numFmtId="10" fontId="24" fillId="0" borderId="1" xfId="0" applyNumberFormat="1" applyFont="1" applyBorder="1"/>
    <xf numFmtId="0" fontId="44" fillId="0" borderId="0" xfId="0" applyFont="1" applyAlignment="1">
      <alignment wrapText="1"/>
    </xf>
    <xf numFmtId="168" fontId="24" fillId="0" borderId="0" xfId="0" applyNumberFormat="1" applyFont="1"/>
    <xf numFmtId="0" fontId="31" fillId="0" borderId="1" xfId="3" applyFont="1" applyBorder="1"/>
    <xf numFmtId="0" fontId="54" fillId="0" borderId="1" xfId="0" applyFont="1" applyBorder="1"/>
    <xf numFmtId="0" fontId="27" fillId="3" borderId="1" xfId="0" applyFont="1" applyFill="1" applyBorder="1" applyAlignment="1">
      <alignment wrapText="1"/>
    </xf>
    <xf numFmtId="0" fontId="90" fillId="0" borderId="1" xfId="0" applyFont="1" applyBorder="1" applyAlignment="1">
      <alignment wrapText="1"/>
    </xf>
    <xf numFmtId="165" fontId="51" fillId="7" borderId="0" xfId="0" applyNumberFormat="1" applyFont="1" applyFill="1" applyAlignment="1">
      <alignment vertical="center"/>
    </xf>
    <xf numFmtId="166" fontId="34" fillId="0" borderId="1" xfId="0" applyNumberFormat="1" applyFont="1" applyBorder="1" applyAlignment="1">
      <alignment vertical="center"/>
    </xf>
    <xf numFmtId="165" fontId="60" fillId="0" borderId="0" xfId="0" applyNumberFormat="1" applyFont="1"/>
    <xf numFmtId="165" fontId="82" fillId="0" borderId="0" xfId="0" applyNumberFormat="1" applyFont="1"/>
    <xf numFmtId="169" fontId="39" fillId="0" borderId="1" xfId="0" applyNumberFormat="1" applyFont="1" applyBorder="1" applyAlignment="1">
      <alignment horizontal="center" vertical="center"/>
    </xf>
    <xf numFmtId="169" fontId="39" fillId="10" borderId="1" xfId="0" applyNumberFormat="1" applyFont="1" applyFill="1" applyBorder="1" applyAlignment="1">
      <alignment horizontal="center" vertical="center"/>
    </xf>
    <xf numFmtId="0" fontId="78" fillId="0" borderId="1" xfId="0" applyFont="1" applyBorder="1" applyAlignment="1">
      <alignment horizontal="left" vertical="center"/>
    </xf>
    <xf numFmtId="169" fontId="24" fillId="0" borderId="1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wrapText="1"/>
    </xf>
    <xf numFmtId="49" fontId="27" fillId="0" borderId="11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49" fontId="49" fillId="0" borderId="0" xfId="0" applyNumberFormat="1" applyFont="1" applyAlignment="1">
      <alignment wrapText="1"/>
    </xf>
    <xf numFmtId="49" fontId="24" fillId="0" borderId="11" xfId="0" applyNumberFormat="1" applyFont="1" applyBorder="1" applyAlignment="1">
      <alignment wrapText="1"/>
    </xf>
    <xf numFmtId="49" fontId="24" fillId="0" borderId="1" xfId="0" applyNumberFormat="1" applyFont="1" applyBorder="1" applyAlignment="1">
      <alignment wrapText="1"/>
    </xf>
    <xf numFmtId="0" fontId="82" fillId="0" borderId="0" xfId="0" applyFont="1" applyAlignment="1">
      <alignment wrapText="1"/>
    </xf>
    <xf numFmtId="0" fontId="65" fillId="0" borderId="0" xfId="0" applyFont="1" applyAlignment="1">
      <alignment wrapText="1"/>
    </xf>
    <xf numFmtId="0" fontId="24" fillId="0" borderId="13" xfId="0" applyFont="1" applyBorder="1"/>
    <xf numFmtId="165" fontId="27" fillId="0" borderId="11" xfId="0" applyNumberFormat="1" applyFont="1" applyBorder="1"/>
    <xf numFmtId="165" fontId="60" fillId="0" borderId="1" xfId="0" applyNumberFormat="1" applyFont="1" applyBorder="1"/>
    <xf numFmtId="165" fontId="32" fillId="0" borderId="1" xfId="0" applyNumberFormat="1" applyFont="1" applyBorder="1"/>
    <xf numFmtId="49" fontId="27" fillId="0" borderId="1" xfId="0" applyNumberFormat="1" applyFont="1" applyBorder="1" applyAlignment="1">
      <alignment wrapText="1"/>
    </xf>
    <xf numFmtId="49" fontId="54" fillId="0" borderId="1" xfId="0" applyNumberFormat="1" applyFont="1" applyBorder="1" applyAlignment="1">
      <alignment wrapText="1"/>
    </xf>
    <xf numFmtId="165" fontId="50" fillId="0" borderId="1" xfId="0" applyNumberFormat="1" applyFont="1" applyBorder="1" applyAlignment="1">
      <alignment horizontal="center" vertical="center"/>
    </xf>
    <xf numFmtId="0" fontId="34" fillId="0" borderId="0" xfId="0" applyFont="1"/>
    <xf numFmtId="165" fontId="34" fillId="0" borderId="1" xfId="0" applyNumberFormat="1" applyFont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4" fillId="3" borderId="0" xfId="0" applyFont="1" applyFill="1"/>
    <xf numFmtId="0" fontId="27" fillId="3" borderId="0" xfId="0" applyFont="1" applyFill="1"/>
    <xf numFmtId="0" fontId="34" fillId="0" borderId="8" xfId="0" applyFont="1" applyBorder="1"/>
    <xf numFmtId="0" fontId="27" fillId="0" borderId="8" xfId="0" applyFont="1" applyBorder="1"/>
    <xf numFmtId="0" fontId="51" fillId="3" borderId="1" xfId="0" applyFont="1" applyFill="1" applyBorder="1" applyAlignment="1">
      <alignment horizontal="left" vertical="top"/>
    </xf>
    <xf numFmtId="0" fontId="34" fillId="0" borderId="1" xfId="0" applyFont="1" applyBorder="1"/>
    <xf numFmtId="0" fontId="34" fillId="3" borderId="1" xfId="0" applyFont="1" applyFill="1" applyBorder="1" applyAlignment="1">
      <alignment horizontal="left" vertical="top" wrapText="1"/>
    </xf>
    <xf numFmtId="0" fontId="51" fillId="3" borderId="1" xfId="0" applyFont="1" applyFill="1" applyBorder="1" applyAlignment="1">
      <alignment wrapText="1"/>
    </xf>
    <xf numFmtId="0" fontId="31" fillId="0" borderId="0" xfId="3" applyFont="1" applyAlignment="1"/>
    <xf numFmtId="0" fontId="34" fillId="3" borderId="1" xfId="0" applyFont="1" applyFill="1" applyBorder="1"/>
    <xf numFmtId="165" fontId="27" fillId="0" borderId="8" xfId="0" applyNumberFormat="1" applyFont="1" applyBorder="1"/>
    <xf numFmtId="165" fontId="51" fillId="0" borderId="1" xfId="0" applyNumberFormat="1" applyFont="1" applyBorder="1"/>
    <xf numFmtId="165" fontId="27" fillId="0" borderId="1" xfId="0" applyNumberFormat="1" applyFont="1" applyBorder="1" applyAlignment="1">
      <alignment vertical="center"/>
    </xf>
    <xf numFmtId="173" fontId="60" fillId="0" borderId="0" xfId="0" applyNumberFormat="1" applyFont="1"/>
    <xf numFmtId="173" fontId="82" fillId="0" borderId="0" xfId="0" applyNumberFormat="1" applyFont="1"/>
    <xf numFmtId="0" fontId="24" fillId="0" borderId="8" xfId="0" applyFont="1" applyBorder="1" applyAlignment="1">
      <alignment horizontal="center" vertical="center"/>
    </xf>
    <xf numFmtId="0" fontId="60" fillId="0" borderId="1" xfId="0" applyFont="1" applyBorder="1" applyAlignment="1">
      <alignment wrapText="1"/>
    </xf>
    <xf numFmtId="0" fontId="60" fillId="0" borderId="8" xfId="0" applyFont="1" applyBorder="1" applyAlignment="1">
      <alignment wrapText="1"/>
    </xf>
    <xf numFmtId="0" fontId="47" fillId="0" borderId="0" xfId="0" applyFont="1" applyAlignment="1">
      <alignment horizontal="center" vertical="center"/>
    </xf>
    <xf numFmtId="165" fontId="51" fillId="0" borderId="5" xfId="0" applyNumberFormat="1" applyFont="1" applyBorder="1" applyAlignment="1">
      <alignment vertical="center"/>
    </xf>
    <xf numFmtId="166" fontId="82" fillId="0" borderId="1" xfId="0" applyNumberFormat="1" applyFont="1" applyBorder="1" applyAlignment="1">
      <alignment horizontal="center"/>
    </xf>
    <xf numFmtId="0" fontId="24" fillId="3" borderId="1" xfId="0" applyFont="1" applyFill="1" applyBorder="1" applyAlignment="1">
      <alignment horizontal="center" vertical="center"/>
    </xf>
    <xf numFmtId="0" fontId="47" fillId="3" borderId="1" xfId="0" applyFont="1" applyFill="1" applyBorder="1"/>
    <xf numFmtId="0" fontId="90" fillId="0" borderId="1" xfId="0" applyFont="1" applyBorder="1"/>
    <xf numFmtId="173" fontId="82" fillId="0" borderId="8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168" fontId="34" fillId="0" borderId="1" xfId="0" applyNumberFormat="1" applyFont="1" applyBorder="1" applyAlignment="1">
      <alignment vertical="center"/>
    </xf>
    <xf numFmtId="168" fontId="24" fillId="3" borderId="0" xfId="0" applyNumberFormat="1" applyFont="1" applyFill="1"/>
    <xf numFmtId="49" fontId="29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 indent="1"/>
    </xf>
    <xf numFmtId="10" fontId="24" fillId="11" borderId="1" xfId="0" applyNumberFormat="1" applyFont="1" applyFill="1" applyBorder="1" applyAlignment="1">
      <alignment vertical="center"/>
    </xf>
    <xf numFmtId="0" fontId="69" fillId="0" borderId="0" xfId="0" applyFont="1" applyAlignment="1">
      <alignment horizontal="center" vertical="center"/>
    </xf>
    <xf numFmtId="1" fontId="51" fillId="3" borderId="0" xfId="0" applyNumberFormat="1" applyFont="1" applyFill="1" applyAlignment="1">
      <alignment horizontal="center"/>
    </xf>
    <xf numFmtId="165" fontId="34" fillId="0" borderId="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/>
    </xf>
    <xf numFmtId="1" fontId="51" fillId="3" borderId="1" xfId="0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2" fillId="3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3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2" fillId="19" borderId="0" xfId="0" applyFont="1" applyFill="1" applyAlignment="1">
      <alignment vertical="center" wrapText="1"/>
    </xf>
    <xf numFmtId="49" fontId="24" fillId="0" borderId="1" xfId="0" applyNumberFormat="1" applyFont="1" applyBorder="1" applyAlignment="1">
      <alignment horizontal="left" vertical="top" wrapText="1"/>
    </xf>
    <xf numFmtId="49" fontId="24" fillId="0" borderId="0" xfId="0" applyNumberFormat="1" applyFont="1" applyAlignment="1">
      <alignment wrapText="1"/>
    </xf>
    <xf numFmtId="1" fontId="51" fillId="0" borderId="1" xfId="0" applyNumberFormat="1" applyFont="1" applyBorder="1" applyAlignment="1">
      <alignment horizontal="center"/>
    </xf>
    <xf numFmtId="0" fontId="24" fillId="0" borderId="6" xfId="0" applyFont="1" applyBorder="1"/>
    <xf numFmtId="1" fontId="29" fillId="6" borderId="1" xfId="0" applyNumberFormat="1" applyFont="1" applyFill="1" applyBorder="1" applyAlignment="1">
      <alignment horizontal="center" wrapText="1"/>
    </xf>
    <xf numFmtId="169" fontId="34" fillId="10" borderId="1" xfId="0" applyNumberFormat="1" applyFont="1" applyFill="1" applyBorder="1" applyAlignment="1">
      <alignment horizontal="center" vertical="center"/>
    </xf>
    <xf numFmtId="14" fontId="34" fillId="4" borderId="1" xfId="0" applyNumberFormat="1" applyFont="1" applyFill="1" applyBorder="1" applyAlignment="1">
      <alignment vertical="center"/>
    </xf>
    <xf numFmtId="9" fontId="34" fillId="4" borderId="1" xfId="0" applyNumberFormat="1" applyFont="1" applyFill="1" applyBorder="1" applyAlignment="1">
      <alignment vertical="center"/>
    </xf>
    <xf numFmtId="1" fontId="51" fillId="8" borderId="1" xfId="0" applyNumberFormat="1" applyFont="1" applyFill="1" applyBorder="1" applyAlignment="1">
      <alignment horizontal="center"/>
    </xf>
    <xf numFmtId="0" fontId="34" fillId="9" borderId="0" xfId="0" applyFont="1" applyFill="1"/>
    <xf numFmtId="1" fontId="51" fillId="6" borderId="1" xfId="0" applyNumberFormat="1" applyFont="1" applyFill="1" applyBorder="1" applyAlignment="1">
      <alignment horizontal="center"/>
    </xf>
    <xf numFmtId="0" fontId="31" fillId="3" borderId="0" xfId="3" applyFont="1" applyFill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69" fillId="3" borderId="0" xfId="0" applyFont="1" applyFill="1"/>
    <xf numFmtId="0" fontId="32" fillId="0" borderId="8" xfId="0" applyFont="1" applyBorder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49" fontId="29" fillId="6" borderId="0" xfId="0" applyNumberFormat="1" applyFont="1" applyFill="1" applyAlignment="1">
      <alignment horizontal="center" vertical="center" wrapText="1"/>
    </xf>
    <xf numFmtId="1" fontId="29" fillId="2" borderId="0" xfId="0" applyNumberFormat="1" applyFont="1" applyFill="1" applyAlignment="1">
      <alignment horizontal="center"/>
    </xf>
    <xf numFmtId="0" fontId="52" fillId="0" borderId="0" xfId="0" applyFont="1" applyAlignment="1">
      <alignment vertical="center" wrapText="1"/>
    </xf>
    <xf numFmtId="49" fontId="29" fillId="0" borderId="0" xfId="0" applyNumberFormat="1" applyFont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 wrapText="1"/>
    </xf>
    <xf numFmtId="0" fontId="24" fillId="2" borderId="0" xfId="0" applyFont="1" applyFill="1"/>
    <xf numFmtId="49" fontId="24" fillId="0" borderId="8" xfId="0" applyNumberFormat="1" applyFont="1" applyBorder="1" applyAlignment="1">
      <alignment vertical="center" wrapText="1"/>
    </xf>
    <xf numFmtId="0" fontId="24" fillId="7" borderId="1" xfId="0" applyFont="1" applyFill="1" applyBorder="1" applyAlignment="1">
      <alignment vertical="top"/>
    </xf>
    <xf numFmtId="49" fontId="24" fillId="0" borderId="0" xfId="0" applyNumberFormat="1" applyFont="1" applyAlignment="1">
      <alignment vertical="center" wrapText="1"/>
    </xf>
    <xf numFmtId="49" fontId="29" fillId="2" borderId="3" xfId="0" applyNumberFormat="1" applyFont="1" applyFill="1" applyBorder="1" applyAlignment="1">
      <alignment horizontal="center" wrapText="1"/>
    </xf>
    <xf numFmtId="49" fontId="24" fillId="7" borderId="5" xfId="0" applyNumberFormat="1" applyFont="1" applyFill="1" applyBorder="1" applyAlignment="1">
      <alignment vertical="center" wrapText="1"/>
    </xf>
    <xf numFmtId="0" fontId="33" fillId="0" borderId="0" xfId="3" applyFont="1" applyAlignment="1">
      <alignment horizontal="center" vertical="center" wrapText="1"/>
    </xf>
    <xf numFmtId="0" fontId="31" fillId="0" borderId="1" xfId="3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1" fontId="29" fillId="2" borderId="3" xfId="0" applyNumberFormat="1" applyFont="1" applyFill="1" applyBorder="1" applyAlignment="1">
      <alignment horizontal="center"/>
    </xf>
    <xf numFmtId="0" fontId="93" fillId="3" borderId="0" xfId="0" applyFont="1" applyFill="1" applyAlignment="1">
      <alignment horizontal="right" vertical="center" wrapText="1"/>
    </xf>
    <xf numFmtId="0" fontId="93" fillId="3" borderId="0" xfId="0" applyFont="1" applyFill="1" applyAlignment="1">
      <alignment horizontal="right" vertical="center"/>
    </xf>
    <xf numFmtId="0" fontId="69" fillId="3" borderId="0" xfId="0" applyFont="1" applyFill="1" applyAlignment="1">
      <alignment horizontal="right"/>
    </xf>
    <xf numFmtId="0" fontId="24" fillId="7" borderId="0" xfId="0" applyFont="1" applyFill="1" applyAlignment="1">
      <alignment horizontal="center" vertical="center"/>
    </xf>
    <xf numFmtId="0" fontId="92" fillId="3" borderId="0" xfId="0" applyFont="1" applyFill="1" applyAlignment="1">
      <alignment horizontal="right" vertical="center"/>
    </xf>
    <xf numFmtId="0" fontId="94" fillId="0" borderId="0" xfId="0" applyFont="1" applyAlignment="1">
      <alignment horizontal="left" vertical="center"/>
    </xf>
    <xf numFmtId="165" fontId="95" fillId="7" borderId="1" xfId="0" applyNumberFormat="1" applyFont="1" applyFill="1" applyBorder="1" applyAlignment="1">
      <alignment vertical="center"/>
    </xf>
    <xf numFmtId="0" fontId="94" fillId="7" borderId="0" xfId="0" applyFont="1" applyFill="1" applyAlignment="1">
      <alignment horizontal="left" vertical="center"/>
    </xf>
    <xf numFmtId="0" fontId="94" fillId="0" borderId="0" xfId="0" applyFont="1" applyAlignment="1">
      <alignment vertical="center"/>
    </xf>
    <xf numFmtId="0" fontId="94" fillId="0" borderId="0" xfId="0" applyFont="1"/>
    <xf numFmtId="0" fontId="94" fillId="3" borderId="0" xfId="0" applyFont="1" applyFill="1" applyAlignment="1">
      <alignment horizontal="left" vertical="center"/>
    </xf>
    <xf numFmtId="0" fontId="94" fillId="0" borderId="0" xfId="0" applyFont="1" applyAlignment="1">
      <alignment vertical="top"/>
    </xf>
    <xf numFmtId="165" fontId="51" fillId="0" borderId="8" xfId="0" applyNumberFormat="1" applyFont="1" applyBorder="1" applyAlignment="1">
      <alignment vertical="center"/>
    </xf>
    <xf numFmtId="0" fontId="59" fillId="0" borderId="1" xfId="0" applyFont="1" applyBorder="1" applyAlignment="1">
      <alignment horizontal="left"/>
    </xf>
    <xf numFmtId="0" fontId="59" fillId="0" borderId="5" xfId="0" applyFont="1" applyBorder="1" applyAlignment="1">
      <alignment horizontal="center"/>
    </xf>
    <xf numFmtId="165" fontId="27" fillId="0" borderId="0" xfId="0" applyNumberFormat="1" applyFont="1" applyAlignment="1">
      <alignment horizontal="center" vertical="center"/>
    </xf>
    <xf numFmtId="0" fontId="31" fillId="0" borderId="3" xfId="3" applyFont="1" applyBorder="1" applyAlignment="1">
      <alignment horizontal="center" vertical="center"/>
    </xf>
    <xf numFmtId="0" fontId="31" fillId="0" borderId="5" xfId="3" applyFont="1" applyBorder="1" applyAlignment="1">
      <alignment horizontal="center" vertical="center"/>
    </xf>
    <xf numFmtId="0" fontId="47" fillId="0" borderId="3" xfId="0" applyFont="1" applyBorder="1"/>
    <xf numFmtId="0" fontId="24" fillId="0" borderId="5" xfId="0" applyFont="1" applyBorder="1" applyAlignment="1">
      <alignment horizontal="center" vertical="center"/>
    </xf>
    <xf numFmtId="0" fontId="27" fillId="0" borderId="5" xfId="0" applyFont="1" applyBorder="1"/>
    <xf numFmtId="0" fontId="59" fillId="0" borderId="5" xfId="0" applyFont="1" applyBorder="1" applyAlignment="1">
      <alignment horizontal="center" vertical="center"/>
    </xf>
    <xf numFmtId="0" fontId="69" fillId="0" borderId="9" xfId="0" applyFont="1" applyBorder="1" applyAlignment="1">
      <alignment horizontal="center"/>
    </xf>
    <xf numFmtId="0" fontId="69" fillId="0" borderId="9" xfId="0" applyFont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/>
    </xf>
    <xf numFmtId="1" fontId="29" fillId="0" borderId="0" xfId="0" applyNumberFormat="1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165" fontId="61" fillId="0" borderId="0" xfId="0" applyNumberFormat="1" applyFont="1" applyAlignment="1">
      <alignment vertical="center"/>
    </xf>
    <xf numFmtId="165" fontId="6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horizontal="right"/>
    </xf>
    <xf numFmtId="9" fontId="24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right" vertical="center" wrapText="1"/>
    </xf>
    <xf numFmtId="165" fontId="71" fillId="0" borderId="0" xfId="0" applyNumberFormat="1" applyFont="1" applyAlignment="1">
      <alignment vertical="center"/>
    </xf>
    <xf numFmtId="165" fontId="30" fillId="0" borderId="0" xfId="0" applyNumberFormat="1" applyFont="1"/>
    <xf numFmtId="165" fontId="51" fillId="0" borderId="0" xfId="0" applyNumberFormat="1" applyFont="1" applyAlignment="1">
      <alignment vertical="center" wrapText="1"/>
    </xf>
    <xf numFmtId="173" fontId="24" fillId="0" borderId="0" xfId="0" applyNumberFormat="1" applyFont="1" applyAlignment="1">
      <alignment horizontal="center" vertical="center"/>
    </xf>
    <xf numFmtId="166" fontId="82" fillId="0" borderId="0" xfId="0" applyNumberFormat="1" applyFont="1" applyAlignment="1">
      <alignment horizontal="center"/>
    </xf>
    <xf numFmtId="9" fontId="34" fillId="0" borderId="0" xfId="0" applyNumberFormat="1" applyFont="1" applyAlignment="1">
      <alignment vertical="center"/>
    </xf>
    <xf numFmtId="168" fontId="34" fillId="0" borderId="0" xfId="0" applyNumberFormat="1" applyFont="1" applyAlignment="1">
      <alignment vertical="center"/>
    </xf>
    <xf numFmtId="171" fontId="86" fillId="0" borderId="0" xfId="0" applyNumberFormat="1" applyFont="1" applyAlignment="1">
      <alignment horizontal="center" vertical="center"/>
    </xf>
    <xf numFmtId="9" fontId="24" fillId="0" borderId="0" xfId="0" applyNumberFormat="1" applyFont="1" applyAlignment="1">
      <alignment horizontal="center"/>
    </xf>
    <xf numFmtId="165" fontId="95" fillId="0" borderId="0" xfId="0" applyNumberFormat="1" applyFont="1" applyAlignment="1">
      <alignment vertical="center"/>
    </xf>
    <xf numFmtId="171" fontId="32" fillId="15" borderId="1" xfId="0" applyNumberFormat="1" applyFont="1" applyFill="1" applyBorder="1" applyAlignment="1">
      <alignment horizontal="center"/>
    </xf>
    <xf numFmtId="171" fontId="32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 wrapText="1" indent="1"/>
    </xf>
    <xf numFmtId="0" fontId="37" fillId="7" borderId="0" xfId="0" applyFont="1" applyFill="1"/>
    <xf numFmtId="49" fontId="49" fillId="0" borderId="1" xfId="0" applyNumberFormat="1" applyFont="1" applyBorder="1" applyAlignment="1">
      <alignment wrapText="1"/>
    </xf>
    <xf numFmtId="0" fontId="8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49" fontId="27" fillId="3" borderId="1" xfId="0" applyNumberFormat="1" applyFont="1" applyFill="1" applyBorder="1" applyAlignment="1">
      <alignment wrapText="1"/>
    </xf>
    <xf numFmtId="0" fontId="46" fillId="0" borderId="1" xfId="0" applyFont="1" applyBorder="1" applyAlignment="1">
      <alignment horizontal="left"/>
    </xf>
    <xf numFmtId="0" fontId="49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/>
    </xf>
    <xf numFmtId="173" fontId="24" fillId="0" borderId="1" xfId="0" applyNumberFormat="1" applyFont="1" applyBorder="1" applyAlignment="1">
      <alignment horizontal="center"/>
    </xf>
    <xf numFmtId="173" fontId="24" fillId="0" borderId="1" xfId="0" applyNumberFormat="1" applyFont="1" applyBorder="1"/>
    <xf numFmtId="168" fontId="24" fillId="0" borderId="1" xfId="0" applyNumberFormat="1" applyFont="1" applyBorder="1" applyAlignment="1">
      <alignment horizontal="right" vertical="center"/>
    </xf>
    <xf numFmtId="1" fontId="29" fillId="0" borderId="8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 indent="1"/>
    </xf>
    <xf numFmtId="0" fontId="3" fillId="0" borderId="1" xfId="3" applyFill="1" applyBorder="1" applyAlignment="1">
      <alignment horizontal="center" vertical="center"/>
    </xf>
    <xf numFmtId="0" fontId="37" fillId="0" borderId="29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96" fillId="0" borderId="0" xfId="0" applyFont="1"/>
    <xf numFmtId="0" fontId="32" fillId="0" borderId="29" xfId="0" applyFont="1" applyBorder="1" applyAlignment="1">
      <alignment horizontal="left" vertical="center" wrapText="1"/>
    </xf>
    <xf numFmtId="0" fontId="80" fillId="0" borderId="29" xfId="0" applyFont="1" applyBorder="1" applyAlignment="1">
      <alignment horizontal="center" vertical="center" wrapText="1"/>
    </xf>
    <xf numFmtId="0" fontId="80" fillId="0" borderId="29" xfId="0" applyFont="1" applyBorder="1" applyAlignment="1">
      <alignment horizontal="left" vertical="center" wrapText="1"/>
    </xf>
    <xf numFmtId="0" fontId="80" fillId="0" borderId="29" xfId="0" applyFont="1" applyBorder="1" applyAlignment="1">
      <alignment vertical="center" wrapText="1"/>
    </xf>
    <xf numFmtId="14" fontId="99" fillId="0" borderId="29" xfId="0" applyNumberFormat="1" applyFont="1" applyBorder="1" applyAlignment="1">
      <alignment horizontal="center" vertical="center" wrapText="1"/>
    </xf>
    <xf numFmtId="14" fontId="99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102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165" fontId="103" fillId="0" borderId="29" xfId="0" applyNumberFormat="1" applyFont="1" applyBorder="1" applyAlignment="1">
      <alignment horizontal="center" vertical="center" wrapText="1"/>
    </xf>
    <xf numFmtId="2" fontId="103" fillId="0" borderId="29" xfId="0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80" fillId="0" borderId="0" xfId="0" applyFont="1" applyAlignment="1">
      <alignment vertical="center" wrapText="1"/>
    </xf>
    <xf numFmtId="2" fontId="103" fillId="0" borderId="0" xfId="0" applyNumberFormat="1" applyFont="1" applyAlignment="1">
      <alignment horizontal="center" vertical="center" wrapText="1"/>
    </xf>
    <xf numFmtId="2" fontId="105" fillId="0" borderId="0" xfId="0" applyNumberFormat="1" applyFont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3" fontId="103" fillId="0" borderId="2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80" fillId="0" borderId="29" xfId="0" applyFont="1" applyBorder="1" applyAlignment="1">
      <alignment horizontal="left" vertical="center" wrapText="1" indent="2"/>
    </xf>
    <xf numFmtId="0" fontId="101" fillId="0" borderId="29" xfId="0" applyFont="1" applyBorder="1" applyAlignment="1">
      <alignment horizontal="center" vertical="center" wrapText="1"/>
    </xf>
    <xf numFmtId="165" fontId="101" fillId="0" borderId="29" xfId="0" applyNumberFormat="1" applyFont="1" applyBorder="1" applyAlignment="1">
      <alignment horizontal="center" vertical="center" wrapText="1"/>
    </xf>
    <xf numFmtId="10" fontId="101" fillId="0" borderId="29" xfId="0" applyNumberFormat="1" applyFont="1" applyBorder="1" applyAlignment="1">
      <alignment horizontal="center" vertical="center" wrapText="1"/>
    </xf>
    <xf numFmtId="2" fontId="101" fillId="0" borderId="29" xfId="0" applyNumberFormat="1" applyFont="1" applyBorder="1" applyAlignment="1">
      <alignment horizontal="center" vertical="center" wrapText="1"/>
    </xf>
    <xf numFmtId="0" fontId="100" fillId="0" borderId="29" xfId="0" applyFont="1" applyBorder="1" applyAlignment="1">
      <alignment horizontal="center" vertical="center" wrapText="1"/>
    </xf>
    <xf numFmtId="0" fontId="25" fillId="0" borderId="0" xfId="0" applyFont="1"/>
    <xf numFmtId="165" fontId="80" fillId="0" borderId="29" xfId="0" applyNumberFormat="1" applyFont="1" applyBorder="1" applyAlignment="1">
      <alignment horizontal="center" vertical="center"/>
    </xf>
    <xf numFmtId="0" fontId="109" fillId="0" borderId="0" xfId="0" applyFont="1"/>
    <xf numFmtId="165" fontId="94" fillId="0" borderId="29" xfId="0" applyNumberFormat="1" applyFont="1" applyBorder="1" applyAlignment="1">
      <alignment horizontal="center" vertical="center" wrapText="1"/>
    </xf>
    <xf numFmtId="0" fontId="94" fillId="0" borderId="29" xfId="0" applyFont="1" applyBorder="1" applyAlignment="1">
      <alignment horizontal="left" vertical="center" wrapText="1" indent="2"/>
    </xf>
    <xf numFmtId="0" fontId="94" fillId="0" borderId="0" xfId="0" applyFont="1" applyAlignment="1">
      <alignment horizontal="center" vertical="center" wrapText="1"/>
    </xf>
    <xf numFmtId="2" fontId="94" fillId="0" borderId="0" xfId="0" applyNumberFormat="1" applyFont="1" applyAlignment="1">
      <alignment horizontal="center" vertical="center" wrapText="1"/>
    </xf>
    <xf numFmtId="0" fontId="110" fillId="0" borderId="0" xfId="0" applyFont="1"/>
    <xf numFmtId="0" fontId="111" fillId="9" borderId="0" xfId="0" applyFont="1" applyFill="1" applyAlignment="1">
      <alignment horizontal="left" vertical="center" wrapText="1"/>
    </xf>
    <xf numFmtId="0" fontId="112" fillId="9" borderId="0" xfId="0" applyFont="1" applyFill="1" applyAlignment="1">
      <alignment horizontal="left" vertical="center" wrapText="1"/>
    </xf>
    <xf numFmtId="0" fontId="113" fillId="0" borderId="29" xfId="0" applyFont="1" applyBorder="1" applyAlignment="1">
      <alignment horizontal="left" vertical="center" wrapText="1" indent="2"/>
    </xf>
    <xf numFmtId="165" fontId="113" fillId="0" borderId="29" xfId="0" applyNumberFormat="1" applyFont="1" applyBorder="1" applyAlignment="1">
      <alignment horizontal="center" vertical="center" wrapText="1"/>
    </xf>
    <xf numFmtId="0" fontId="114" fillId="0" borderId="29" xfId="0" applyFont="1" applyBorder="1" applyAlignment="1">
      <alignment vertical="center" wrapText="1"/>
    </xf>
    <xf numFmtId="0" fontId="108" fillId="0" borderId="0" xfId="0" applyFont="1" applyAlignment="1">
      <alignment vertical="center"/>
    </xf>
    <xf numFmtId="0" fontId="24" fillId="26" borderId="1" xfId="0" applyFont="1" applyFill="1" applyBorder="1" applyAlignment="1">
      <alignment vertical="center"/>
    </xf>
    <xf numFmtId="0" fontId="32" fillId="26" borderId="0" xfId="0" applyFont="1" applyFill="1" applyAlignment="1">
      <alignment horizontal="left" vertical="center" wrapText="1"/>
    </xf>
    <xf numFmtId="0" fontId="3" fillId="0" borderId="1" xfId="3" applyFill="1" applyBorder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100" fillId="0" borderId="29" xfId="0" applyFont="1" applyBorder="1" applyAlignment="1">
      <alignment horizontal="center" vertical="center" wrapText="1"/>
    </xf>
    <xf numFmtId="0" fontId="80" fillId="0" borderId="29" xfId="0" applyFont="1" applyBorder="1" applyAlignment="1">
      <alignment horizontal="center" vertical="center" wrapText="1"/>
    </xf>
    <xf numFmtId="0" fontId="80" fillId="0" borderId="29" xfId="0" applyFont="1" applyBorder="1" applyAlignment="1">
      <alignment vertical="center" wrapText="1"/>
    </xf>
    <xf numFmtId="14" fontId="10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0" fillId="0" borderId="40" xfId="0" applyFont="1" applyBorder="1" applyAlignment="1">
      <alignment vertical="center" wrapText="1"/>
    </xf>
    <xf numFmtId="0" fontId="80" fillId="0" borderId="41" xfId="0" applyFont="1" applyBorder="1" applyAlignment="1">
      <alignment vertical="center" wrapText="1"/>
    </xf>
    <xf numFmtId="0" fontId="80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44" xfId="0" applyFont="1" applyBorder="1" applyAlignment="1">
      <alignment vertical="center" wrapText="1"/>
    </xf>
    <xf numFmtId="165" fontId="101" fillId="0" borderId="29" xfId="0" applyNumberFormat="1" applyFont="1" applyBorder="1" applyAlignment="1">
      <alignment horizontal="center" vertical="center" wrapText="1"/>
    </xf>
    <xf numFmtId="0" fontId="31" fillId="0" borderId="29" xfId="3" applyFont="1" applyBorder="1" applyAlignment="1">
      <alignment horizontal="center" vertical="center" wrapText="1"/>
    </xf>
    <xf numFmtId="0" fontId="80" fillId="0" borderId="29" xfId="0" applyFont="1" applyBorder="1" applyAlignment="1">
      <alignment horizontal="left" vertical="center" wrapText="1"/>
    </xf>
    <xf numFmtId="0" fontId="3" fillId="0" borderId="29" xfId="3" applyBorder="1" applyAlignment="1">
      <alignment horizontal="center" vertical="center" wrapText="1"/>
    </xf>
    <xf numFmtId="165" fontId="107" fillId="0" borderId="45" xfId="0" applyNumberFormat="1" applyFont="1" applyBorder="1" applyAlignment="1">
      <alignment horizontal="center" vertical="center" wrapText="1"/>
    </xf>
    <xf numFmtId="165" fontId="107" fillId="0" borderId="46" xfId="0" applyNumberFormat="1" applyFont="1" applyBorder="1" applyAlignment="1">
      <alignment horizontal="center" vertical="center" wrapText="1"/>
    </xf>
    <xf numFmtId="165" fontId="101" fillId="0" borderId="45" xfId="0" applyNumberFormat="1" applyFont="1" applyBorder="1" applyAlignment="1">
      <alignment horizontal="center" vertical="center" wrapText="1"/>
    </xf>
    <xf numFmtId="165" fontId="101" fillId="0" borderId="46" xfId="0" applyNumberFormat="1" applyFont="1" applyBorder="1" applyAlignment="1">
      <alignment horizontal="center" vertical="center" wrapText="1"/>
    </xf>
    <xf numFmtId="165" fontId="80" fillId="0" borderId="29" xfId="0" applyNumberFormat="1" applyFont="1" applyBorder="1" applyAlignment="1">
      <alignment vertical="center" wrapText="1"/>
    </xf>
    <xf numFmtId="0" fontId="108" fillId="0" borderId="29" xfId="0" applyFont="1" applyBorder="1" applyAlignment="1">
      <alignment horizontal="center" vertical="center"/>
    </xf>
    <xf numFmtId="0" fontId="99" fillId="0" borderId="29" xfId="0" applyFont="1" applyBorder="1" applyAlignment="1">
      <alignment vertical="center" wrapText="1"/>
    </xf>
    <xf numFmtId="177" fontId="99" fillId="0" borderId="29" xfId="0" applyNumberFormat="1" applyFont="1" applyBorder="1" applyAlignment="1">
      <alignment horizontal="left" vertical="center" wrapText="1"/>
    </xf>
    <xf numFmtId="49" fontId="99" fillId="0" borderId="29" xfId="0" applyNumberFormat="1" applyFont="1" applyBorder="1" applyAlignment="1">
      <alignment vertical="center" wrapText="1"/>
    </xf>
    <xf numFmtId="49" fontId="99" fillId="0" borderId="29" xfId="0" applyNumberFormat="1" applyFont="1" applyBorder="1" applyAlignment="1">
      <alignment horizontal="left" vertical="center" wrapText="1"/>
    </xf>
    <xf numFmtId="49" fontId="115" fillId="0" borderId="29" xfId="3" applyNumberFormat="1" applyFont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7" fillId="0" borderId="29" xfId="0" applyFont="1" applyBorder="1" applyAlignment="1">
      <alignment horizontal="center" vertical="center" wrapText="1"/>
    </xf>
    <xf numFmtId="0" fontId="99" fillId="0" borderId="29" xfId="0" applyFont="1" applyBorder="1" applyAlignment="1">
      <alignment horizontal="left" vertical="center" wrapText="1"/>
    </xf>
    <xf numFmtId="0" fontId="98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0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1" fontId="12" fillId="6" borderId="9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" fontId="12" fillId="25" borderId="9" xfId="0" applyNumberFormat="1" applyFont="1" applyFill="1" applyBorder="1" applyAlignment="1">
      <alignment horizontal="left" wrapText="1"/>
    </xf>
    <xf numFmtId="0" fontId="17" fillId="25" borderId="10" xfId="0" applyFont="1" applyFill="1" applyBorder="1" applyAlignment="1">
      <alignment horizontal="left"/>
    </xf>
    <xf numFmtId="0" fontId="17" fillId="25" borderId="6" xfId="0" applyFont="1" applyFill="1" applyBorder="1" applyAlignment="1">
      <alignment horizontal="left"/>
    </xf>
    <xf numFmtId="1" fontId="12" fillId="6" borderId="9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2" fillId="0" borderId="20" xfId="8" applyFont="1" applyBorder="1" applyAlignment="1">
      <alignment horizontal="center" vertical="center"/>
    </xf>
    <xf numFmtId="0" fontId="21" fillId="0" borderId="21" xfId="8" applyFont="1" applyBorder="1" applyAlignment="1">
      <alignment horizontal="center" vertical="center"/>
    </xf>
    <xf numFmtId="0" fontId="21" fillId="0" borderId="18" xfId="8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5" fontId="5" fillId="11" borderId="9" xfId="0" applyNumberFormat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" fontId="12" fillId="6" borderId="9" xfId="0" applyNumberFormat="1" applyFont="1" applyFill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0" fillId="0" borderId="6" xfId="0" applyBorder="1"/>
  </cellXfs>
  <cellStyles count="13">
    <cellStyle name="Checks 2" xfId="6" xr:uid="{4B756DF5-9829-4242-B49B-5F4C90212EAA}"/>
    <cellStyle name="Formula" xfId="4" xr:uid="{D2C2941F-1334-49E5-B420-ED3F5742611C}"/>
    <cellStyle name="Integration_Input" xfId="5" xr:uid="{91A70759-48E4-4C60-A83F-DAEF26513802}"/>
    <cellStyle name="Normal" xfId="1" xr:uid="{F388517C-AAEC-49A5-B28D-AB940DF7DAB9}"/>
    <cellStyle name="Normal 7 2" xfId="2" xr:uid="{C85AF5A4-0C52-40B3-842B-B8890FC8222F}"/>
    <cellStyle name="Гиперссылка" xfId="3" builtinId="8"/>
    <cellStyle name="Обычный" xfId="0" builtinId="0"/>
    <cellStyle name="Обычный 2" xfId="7" xr:uid="{17D35199-6332-4591-A2A8-27D0CD832D67}"/>
    <cellStyle name="Обычный 2 2 2" xfId="11" xr:uid="{03749C1F-9DBC-4260-8D5D-AD6752369418}"/>
    <cellStyle name="Обычный 3" xfId="8" xr:uid="{3B72A7AA-5CF4-478C-BA3E-3F5D7E965F34}"/>
    <cellStyle name="Обычный 3 12" xfId="12" xr:uid="{3C8FC98A-6A13-4C81-926B-FE7908FF7F04}"/>
    <cellStyle name="Процентный" xfId="10" builtinId="5"/>
    <cellStyle name="Финансовый" xfId="9" builtinId="3"/>
  </cellStyles>
  <dxfs count="4">
    <dxf>
      <font>
        <strike val="0"/>
        <color rgb="FFFF0000"/>
      </font>
      <numFmt numFmtId="30" formatCode="@"/>
      <fill>
        <patternFill>
          <bgColor rgb="FFF6F6F8"/>
        </patternFill>
      </fill>
    </dxf>
    <dxf>
      <fill>
        <patternFill patternType="gray125">
          <bgColor theme="9" tint="0.59996337778862885"/>
        </patternFill>
      </fill>
    </dxf>
    <dxf>
      <fill>
        <patternFill patternType="gray125">
          <bgColor theme="5"/>
        </patternFill>
      </fill>
    </dxf>
    <dxf>
      <fill>
        <patternFill patternType="lightGray">
          <bgColor theme="5"/>
        </patternFill>
      </fill>
    </dxf>
  </dxfs>
  <tableStyles count="1" defaultTableStyle="TableStyleMedium2" defaultPivotStyle="PivotStyleLight16">
    <tableStyle name="Invisible" pivot="0" table="0" count="0" xr9:uid="{84EC0FCA-9AF8-45B4-8FF1-906100067154}"/>
  </tableStyles>
  <colors>
    <mruColors>
      <color rgb="FFEC004F"/>
      <color rgb="FFA3A3A3"/>
      <color rgb="FF1C1C1C"/>
      <color rgb="FFF6F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КПЭ!$B$34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КПЭ!$B$32</c:f>
              <c:strCache>
                <c:ptCount val="1"/>
                <c:pt idx="0">
                  <c:v>Свободный денежный поток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26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D-427D-B428-6CDA98B4B63D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КПЭ!$F$33:$O$33</c:f>
              <c:numCache>
                <c:formatCode>#\ ##0_ ;[Red]\-#\ ##0\ </c:formatCode>
                <c:ptCount val="10"/>
                <c:pt idx="0">
                  <c:v>-26422.135733333333</c:v>
                </c:pt>
                <c:pt idx="1">
                  <c:v>-97029.354457599984</c:v>
                </c:pt>
                <c:pt idx="2">
                  <c:v>-111308.82175923939</c:v>
                </c:pt>
                <c:pt idx="3">
                  <c:v>-60326.260161055165</c:v>
                </c:pt>
                <c:pt idx="4">
                  <c:v>-5045.505120570946</c:v>
                </c:pt>
                <c:pt idx="5">
                  <c:v>54592.333066451291</c:v>
                </c:pt>
                <c:pt idx="6">
                  <c:v>118842.71100819422</c:v>
                </c:pt>
                <c:pt idx="7">
                  <c:v>187923.29237955401</c:v>
                </c:pt>
                <c:pt idx="8">
                  <c:v>258394.8637482929</c:v>
                </c:pt>
                <c:pt idx="9">
                  <c:v>333745.67162973888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E1F-4EB1-A837-2C0F47BE19E4}"/>
            </c:ext>
          </c:extLst>
        </c:ser>
        <c:ser>
          <c:idx val="1"/>
          <c:order val="1"/>
          <c:tx>
            <c:strRef>
              <c:f>КПЭ!$B$6</c:f>
              <c:strCache>
                <c:ptCount val="1"/>
                <c:pt idx="0">
                  <c:v>DCF накопленным итогом при ставке дисконтирования 11,36%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КПЭ!$F$6:$O$6</c:f>
              <c:numCache>
                <c:formatCode>#\ ##0_ ;[Red]\-#\ ##0\ </c:formatCode>
                <c:ptCount val="10"/>
                <c:pt idx="0">
                  <c:v>-26422.135733333333</c:v>
                </c:pt>
                <c:pt idx="1">
                  <c:v>-89828.651884364226</c:v>
                </c:pt>
                <c:pt idx="2">
                  <c:v>-101344.11955592071</c:v>
                </c:pt>
                <c:pt idx="3">
                  <c:v>-64433.781152236152</c:v>
                </c:pt>
                <c:pt idx="4">
                  <c:v>-28493.197334378528</c:v>
                </c:pt>
                <c:pt idx="5">
                  <c:v>6325.9266713910838</c:v>
                </c:pt>
                <c:pt idx="6">
                  <c:v>40012.467912696346</c:v>
                </c:pt>
                <c:pt idx="7">
                  <c:v>72528.198727929281</c:v>
                </c:pt>
                <c:pt idx="8">
                  <c:v>102315.851189993</c:v>
                </c:pt>
                <c:pt idx="9">
                  <c:v>130917.76033869467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1F-4EB1-A837-2C0F47BE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41920"/>
        <c:axId val="920543119"/>
      </c:lineChart>
      <c:catAx>
        <c:axId val="17674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20543119"/>
        <c:crosses val="autoZero"/>
        <c:auto val="1"/>
        <c:lblAlgn val="ctr"/>
        <c:lblOffset val="100"/>
        <c:noMultiLvlLbl val="0"/>
      </c:catAx>
      <c:valAx>
        <c:axId val="92054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767419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Внебюджетное финансирование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30186771897131E-2"/>
          <c:y val="0.19037569608549801"/>
          <c:w val="0.91570144509198537"/>
          <c:h val="0.5942950642177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ИтогТаблицы!$B$32</c:f>
              <c:strCache>
                <c:ptCount val="1"/>
                <c:pt idx="0">
                  <c:v>    - собственные средства резидентов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ИтогТаблицы!$C$25:$M$25</c:f>
              <c:numCache>
                <c:formatCode>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ИтогТаблицы!$C$32:$L$32</c:f>
              <c:numCache>
                <c:formatCode>#\ ##0_ ;[Red]\-#\ ##0\ </c:formatCode>
                <c:ptCount val="10"/>
                <c:pt idx="0">
                  <c:v>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0-4AC9-8B7C-3D77175ADBEF}"/>
            </c:ext>
          </c:extLst>
        </c:ser>
        <c:ser>
          <c:idx val="1"/>
          <c:order val="1"/>
          <c:tx>
            <c:strRef>
              <c:f>ИтогТаблицы!$B$33</c:f>
              <c:strCache>
                <c:ptCount val="1"/>
                <c:pt idx="0">
                  <c:v>    - заемные средства резидентов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ИтогТаблицы!$C$25:$M$25</c:f>
              <c:numCache>
                <c:formatCode>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ИтогТаблицы!$C$33:$L$33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0-4AC9-8B7C-3D77175ADBEF}"/>
            </c:ext>
          </c:extLst>
        </c:ser>
        <c:ser>
          <c:idx val="2"/>
          <c:order val="2"/>
          <c:tx>
            <c:strRef>
              <c:f>ИтогТаблицы!$B$34</c:f>
              <c:strCache>
                <c:ptCount val="1"/>
                <c:pt idx="0">
                  <c:v>    - денежный поток от операционной деятельности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ИтогТаблицы!$C$25:$M$25</c:f>
              <c:numCache>
                <c:formatCode>0</c:formatCode>
                <c:ptCount val="1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</c:numCache>
            </c:numRef>
          </c:cat>
          <c:val>
            <c:numRef>
              <c:f>ИтогТаблицы!$C$34:$L$34</c:f>
              <c:numCache>
                <c:formatCode>#\ ##0_ ;[Red]\-#\ ##0\ </c:formatCode>
                <c:ptCount val="10"/>
                <c:pt idx="0">
                  <c:v>-8.09</c:v>
                </c:pt>
                <c:pt idx="1">
                  <c:v>-13.94</c:v>
                </c:pt>
                <c:pt idx="2">
                  <c:v>-14.28</c:v>
                </c:pt>
                <c:pt idx="3">
                  <c:v>50.98</c:v>
                </c:pt>
                <c:pt idx="4">
                  <c:v>55.28</c:v>
                </c:pt>
                <c:pt idx="5">
                  <c:v>59.64</c:v>
                </c:pt>
                <c:pt idx="6">
                  <c:v>64.25</c:v>
                </c:pt>
                <c:pt idx="7">
                  <c:v>69.08</c:v>
                </c:pt>
                <c:pt idx="8">
                  <c:v>70.47</c:v>
                </c:pt>
                <c:pt idx="9">
                  <c:v>75.349999999999994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0-4AC9-8B7C-3D77175AD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16688577372469E-2"/>
          <c:y val="0.82456729409403196"/>
          <c:w val="0.91193034086907854"/>
          <c:h val="0.1496263720221530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Финансирование инвестиционного проекта (млн.руб.)</a:t>
            </a:r>
          </a:p>
        </c:rich>
      </c:tx>
      <c:layout>
        <c:manualLayout>
          <c:xMode val="edge"/>
          <c:yMode val="edge"/>
          <c:x val="0.17135443148140514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ИтогТаблицы!$B$42</c:f>
              <c:strCache>
                <c:ptCount val="1"/>
                <c:pt idx="0">
                  <c:v>Оплата капитального строительства (с НДС)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ИтогТаблицы!$C$40:$L$40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ИтогТаблицы!$C$42:$L$42</c:f>
              <c:numCache>
                <c:formatCode>#,##0</c:formatCode>
                <c:ptCount val="10"/>
                <c:pt idx="0">
                  <c:v>22</c:v>
                </c:pt>
                <c:pt idx="1">
                  <c:v>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2-4C30-BBA4-54418464140D}"/>
            </c:ext>
          </c:extLst>
        </c:ser>
        <c:ser>
          <c:idx val="1"/>
          <c:order val="1"/>
          <c:tx>
            <c:strRef>
              <c:f>ИтогТаблицы!$B$43</c:f>
              <c:strCache>
                <c:ptCount val="1"/>
                <c:pt idx="0">
                  <c:v>Инвестиции в операционную деятельность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ИтогТаблицы!$C$40:$L$40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ИтогТаблицы!$C$43:$L$43</c:f>
              <c:numCache>
                <c:formatCode>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1-7192-4C30-BBA4-544184641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16688577372469E-2"/>
          <c:y val="0.84766185476815381"/>
          <c:w val="0.91193034086907854"/>
          <c:h val="0.126531787693205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Финансирование капитальных вложений в инвестиционной фазе по годам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ИтогТаблицы!$B$50</c:f>
              <c:strCache>
                <c:ptCount val="1"/>
                <c:pt idx="0">
                  <c:v>Проектирование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ИтогТаблицы!$C$49:$L$49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ИтогТаблицы!$C$50:$L$50</c:f>
              <c:numCache>
                <c:formatCode>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94DF-4521-9313-1278777FAAD0}"/>
            </c:ext>
          </c:extLst>
        </c:ser>
        <c:ser>
          <c:idx val="1"/>
          <c:order val="1"/>
          <c:tx>
            <c:strRef>
              <c:f>ИтогТаблицы!$B$51</c:f>
              <c:strCache>
                <c:ptCount val="1"/>
                <c:pt idx="0">
                  <c:v>Строительство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ИтогТаблицы!$C$49:$L$49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ИтогТаблицы!$C$51:$L$51</c:f>
              <c:numCache>
                <c:formatCode>#,##0</c:formatCode>
                <c:ptCount val="10"/>
                <c:pt idx="0">
                  <c:v>22</c:v>
                </c:pt>
                <c:pt idx="1">
                  <c:v>68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F-4521-9313-1278777FAAD0}"/>
            </c:ext>
          </c:extLst>
        </c:ser>
        <c:ser>
          <c:idx val="2"/>
          <c:order val="2"/>
          <c:tx>
            <c:strRef>
              <c:f>ИтогТаблицы!$B$52</c:f>
              <c:strCache>
                <c:ptCount val="1"/>
                <c:pt idx="0">
                  <c:v>Коммунальные объекты</c:v>
                </c:pt>
              </c:strCache>
            </c:strRef>
          </c:tx>
          <c:invertIfNegative val="0"/>
          <c:cat>
            <c:numRef>
              <c:f>ИтогТаблицы!$C$49:$L$49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ИтогТаблицы!$C$52:$L$52</c:f>
              <c:numCache>
                <c:formatCode>#,##0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2-94DF-4521-9313-1278777FA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916688577372469E-2"/>
          <c:y val="0.84766185476815381"/>
          <c:w val="0.91193034086907854"/>
          <c:h val="0.12653178769320503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Рабочие места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ИтогТаблицы!$B$81</c:f>
              <c:strCache>
                <c:ptCount val="1"/>
                <c:pt idx="0">
                  <c:v>Количество создаваемых рабочих мест 
(нарастающим итогом)</c:v>
                </c:pt>
              </c:strCache>
            </c:strRef>
          </c:tx>
          <c:spPr>
            <a:effectLst/>
          </c:spP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66-46F5-B223-697753FC3A8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ИтогТаблицы!$C$80:$L$80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ИтогТаблицы!$C$81:$L$81</c:f>
              <c:numCache>
                <c:formatCode>#,##0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66-46F5-B223-697753FC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97199"/>
        <c:axId val="562602783"/>
      </c:lineChart>
      <c:lineChart>
        <c:grouping val="standard"/>
        <c:varyColors val="0"/>
        <c:ser>
          <c:idx val="1"/>
          <c:order val="1"/>
          <c:tx>
            <c:strRef>
              <c:f>ИтогТаблицы!$B$83</c:f>
              <c:strCache>
                <c:ptCount val="1"/>
                <c:pt idx="0">
                  <c:v>Средняя зп тыс.руб.</c:v>
                </c:pt>
              </c:strCache>
            </c:strRef>
          </c:tx>
          <c:spPr>
            <a:ln w="12700">
              <a:solidFill>
                <a:srgbClr val="1C1C1C"/>
              </a:solidFill>
            </a:ln>
            <a:effectLst/>
          </c:spPr>
          <c:marker>
            <c:spPr>
              <a:solidFill>
                <a:srgbClr val="1C1C1C"/>
              </a:solidFill>
              <a:ln w="3175"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ИтогТаблицы!$C$80:$L$80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ИтогТаблицы!$C$83:$L$83</c:f>
              <c:numCache>
                <c:formatCode>#,##0</c:formatCode>
                <c:ptCount val="10"/>
                <c:pt idx="0">
                  <c:v>120</c:v>
                </c:pt>
                <c:pt idx="1">
                  <c:v>123</c:v>
                </c:pt>
                <c:pt idx="2">
                  <c:v>94</c:v>
                </c:pt>
                <c:pt idx="3">
                  <c:v>96</c:v>
                </c:pt>
                <c:pt idx="4">
                  <c:v>99</c:v>
                </c:pt>
                <c:pt idx="5">
                  <c:v>101</c:v>
                </c:pt>
                <c:pt idx="6">
                  <c:v>104</c:v>
                </c:pt>
                <c:pt idx="7">
                  <c:v>107</c:v>
                </c:pt>
                <c:pt idx="8">
                  <c:v>109</c:v>
                </c:pt>
                <c:pt idx="9">
                  <c:v>112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266-46F5-B223-697753FC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430607"/>
        <c:axId val="1883415247"/>
      </c:line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</c:valAx>
      <c:valAx>
        <c:axId val="1883415247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883430607"/>
        <c:crosses val="max"/>
        <c:crossBetween val="between"/>
      </c:valAx>
      <c:catAx>
        <c:axId val="1883430607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83415247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ru-RU"/>
              <a:t>График привлечения/погашения заемных средств (млн.руб.)</a:t>
            </a:r>
          </a:p>
        </c:rich>
      </c:tx>
      <c:layout>
        <c:manualLayout>
          <c:xMode val="edge"/>
          <c:yMode val="edge"/>
          <c:x val="0.15957276630086467"/>
          <c:y val="2.77807450270825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30192793642664E-2"/>
          <c:y val="0.29223849003994673"/>
          <c:w val="0.91570144509198537"/>
          <c:h val="0.54336366490004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ИтогТаблицы!$B$96</c:f>
              <c:strCache>
                <c:ptCount val="1"/>
                <c:pt idx="0">
                  <c:v>Привлечение </c:v>
                </c:pt>
              </c:strCache>
            </c:strRef>
          </c:tx>
          <c:spPr>
            <a:solidFill>
              <a:srgbClr val="1C1C1C"/>
            </a:solidFill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4-4DA1-AD88-453A77F187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ИтогТаблицы!$C$95:$L$95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ИтогТаблицы!$C$96:$L$96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54-4DA1-AD88-453A77F18777}"/>
            </c:ext>
          </c:extLst>
        </c:ser>
        <c:ser>
          <c:idx val="0"/>
          <c:order val="1"/>
          <c:tx>
            <c:strRef>
              <c:f>ИтогТаблицы!$B$97</c:f>
              <c:strCache>
                <c:ptCount val="1"/>
                <c:pt idx="0">
                  <c:v>Погашение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ИтогТаблицы!$C$95:$L$95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ИтогТаблицы!$C$97:$L$97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11.88</c:v>
                </c:pt>
                <c:pt idx="3">
                  <c:v>11.88</c:v>
                </c:pt>
                <c:pt idx="4">
                  <c:v>11.88</c:v>
                </c:pt>
                <c:pt idx="5">
                  <c:v>11.88</c:v>
                </c:pt>
                <c:pt idx="6">
                  <c:v>11.88</c:v>
                </c:pt>
                <c:pt idx="7">
                  <c:v>11.88</c:v>
                </c:pt>
                <c:pt idx="8">
                  <c:v>11.88</c:v>
                </c:pt>
                <c:pt idx="9">
                  <c:v>11.88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4-4DA1-AD88-453A77F18777}"/>
            </c:ext>
          </c:extLst>
        </c:ser>
        <c:ser>
          <c:idx val="2"/>
          <c:order val="2"/>
          <c:tx>
            <c:strRef>
              <c:f>ИтогТаблицы!$B$98</c:f>
              <c:strCache>
                <c:ptCount val="1"/>
                <c:pt idx="0">
                  <c:v>Погашение процентов</c:v>
                </c:pt>
              </c:strCache>
            </c:strRef>
          </c:tx>
          <c:spPr>
            <a:solidFill>
              <a:srgbClr val="EC004F"/>
            </a:solidFill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ИтогТаблицы!$C$95:$L$95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ИтогТаблицы!$C$98:$L$98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5.7</c:v>
                </c:pt>
                <c:pt idx="2">
                  <c:v>10.69</c:v>
                </c:pt>
                <c:pt idx="3">
                  <c:v>9.26</c:v>
                </c:pt>
                <c:pt idx="4">
                  <c:v>7.84</c:v>
                </c:pt>
                <c:pt idx="5">
                  <c:v>6.41</c:v>
                </c:pt>
                <c:pt idx="6">
                  <c:v>4.99</c:v>
                </c:pt>
                <c:pt idx="7">
                  <c:v>3.56</c:v>
                </c:pt>
                <c:pt idx="8">
                  <c:v>2.14</c:v>
                </c:pt>
                <c:pt idx="9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54-4DA1-AD88-453A77F18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75356784532388"/>
          <c:y val="0.87549851307390303"/>
          <c:w val="0.62050107918265052"/>
          <c:h val="8.372613435307868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 млн.руб.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БДР!$B$5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БДР!$F$5:$O$5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38530</c:v>
                </c:pt>
                <c:pt idx="3">
                  <c:v>112840</c:v>
                </c:pt>
                <c:pt idx="4">
                  <c:v>117353.60000000002</c:v>
                </c:pt>
                <c:pt idx="5">
                  <c:v>122047.74400000002</c:v>
                </c:pt>
                <c:pt idx="6">
                  <c:v>126929.65376</c:v>
                </c:pt>
                <c:pt idx="7">
                  <c:v>132006.83991040001</c:v>
                </c:pt>
                <c:pt idx="8">
                  <c:v>137287.11350681601</c:v>
                </c:pt>
                <c:pt idx="9">
                  <c:v>142778.59804708866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1-4F35-BE12-A3574C75DBA5}"/>
            </c:ext>
          </c:extLst>
        </c:ser>
        <c:ser>
          <c:idx val="1"/>
          <c:order val="1"/>
          <c:tx>
            <c:strRef>
              <c:f>БДР!$B$12</c:f>
              <c:strCache>
                <c:ptCount val="1"/>
                <c:pt idx="0">
                  <c:v>Валовая прибыль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БДР!$F$12:$O$12</c:f>
              <c:numCache>
                <c:formatCode>#\ ##0_ ;[Red]\-#\ ##0\ </c:formatCode>
                <c:ptCount val="10"/>
                <c:pt idx="0">
                  <c:v>-4985</c:v>
                </c:pt>
                <c:pt idx="1">
                  <c:v>-5181.8</c:v>
                </c:pt>
                <c:pt idx="2">
                  <c:v>-6765.9580253904787</c:v>
                </c:pt>
                <c:pt idx="3">
                  <c:v>58666.151322031132</c:v>
                </c:pt>
                <c:pt idx="4">
                  <c:v>62748.052039024791</c:v>
                </c:pt>
                <c:pt idx="5">
                  <c:v>70541.414542200131</c:v>
                </c:pt>
                <c:pt idx="6">
                  <c:v>77741.508458247787</c:v>
                </c:pt>
                <c:pt idx="7">
                  <c:v>81526.968735779461</c:v>
                </c:pt>
                <c:pt idx="8">
                  <c:v>85475.312023092614</c:v>
                </c:pt>
                <c:pt idx="9">
                  <c:v>89593.322007148134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1-4F35-BE12-A3574C75DBA5}"/>
            </c:ext>
          </c:extLst>
        </c:ser>
        <c:ser>
          <c:idx val="2"/>
          <c:order val="2"/>
          <c:tx>
            <c:strRef>
              <c:f>БДР!$B$17</c:f>
              <c:strCache>
                <c:ptCount val="1"/>
                <c:pt idx="0">
                  <c:v>Прибыль/убыток от продаж</c:v>
                </c:pt>
              </c:strCache>
            </c:strRef>
          </c:tx>
          <c:spPr>
            <a:solidFill>
              <a:srgbClr val="F6F6F8"/>
            </a:solidFill>
            <a:ln>
              <a:noFill/>
            </a:ln>
            <a:effectLst/>
          </c:spPr>
          <c:invertIfNegative val="0"/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БДР!$F$17:$O$17</c:f>
              <c:numCache>
                <c:formatCode>#\ ##0_ ;[Red]\-#\ ##0\ </c:formatCode>
                <c:ptCount val="10"/>
                <c:pt idx="0">
                  <c:v>-8233.880000000001</c:v>
                </c:pt>
                <c:pt idx="1">
                  <c:v>-8505.0531200000005</c:v>
                </c:pt>
                <c:pt idx="2">
                  <c:v>-16664.191610030481</c:v>
                </c:pt>
                <c:pt idx="3">
                  <c:v>48504.715430605851</c:v>
                </c:pt>
                <c:pt idx="4">
                  <c:v>52316.307378531026</c:v>
                </c:pt>
                <c:pt idx="5">
                  <c:v>59832.062775873041</c:v>
                </c:pt>
                <c:pt idx="6">
                  <c:v>66757.613545996195</c:v>
                </c:pt>
                <c:pt idx="7">
                  <c:v>70261.392555809318</c:v>
                </c:pt>
                <c:pt idx="8">
                  <c:v>73920.730862443248</c:v>
                </c:pt>
                <c:pt idx="9">
                  <c:v>77742.221736321895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21-4F35-BE12-A3574C75DBA5}"/>
            </c:ext>
          </c:extLst>
        </c:ser>
        <c:ser>
          <c:idx val="3"/>
          <c:order val="3"/>
          <c:tx>
            <c:strRef>
              <c:f>БДР!$B$28</c:f>
              <c:strCache>
                <c:ptCount val="1"/>
                <c:pt idx="0">
                  <c:v>Чистая прибыль/убыток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БДР!$F$28:$O$28</c:f>
              <c:numCache>
                <c:formatCode>#\ ##0_ ;[Red]\-#\ ##0\ </c:formatCode>
                <c:ptCount val="10"/>
                <c:pt idx="0">
                  <c:v>-8088.8024000000014</c:v>
                </c:pt>
                <c:pt idx="1">
                  <c:v>-13940.5520576</c:v>
                </c:pt>
                <c:pt idx="2">
                  <c:v>-26755.657777829871</c:v>
                </c:pt>
                <c:pt idx="3">
                  <c:v>38506.371121993732</c:v>
                </c:pt>
                <c:pt idx="4">
                  <c:v>43638.231230960402</c:v>
                </c:pt>
                <c:pt idx="5">
                  <c:v>52400.17152035558</c:v>
                </c:pt>
                <c:pt idx="6">
                  <c:v>60583.711275076268</c:v>
                </c:pt>
                <c:pt idx="7">
                  <c:v>65413.914704693132</c:v>
                </c:pt>
                <c:pt idx="8">
                  <c:v>66804.904702072221</c:v>
                </c:pt>
                <c:pt idx="9">
                  <c:v>71684.14121477936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21-4F35-BE12-A3574C75D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расходов. Рентабельность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БДР!$B$13</c:f>
              <c:strCache>
                <c:ptCount val="1"/>
                <c:pt idx="0">
                  <c:v>рент-ть по валовой прибыли</c:v>
                </c:pt>
              </c:strCache>
            </c:strRef>
          </c:tx>
          <c:spPr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БДР!$F$13:$O$13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-0.17560233650118034</c:v>
                </c:pt>
                <c:pt idx="3">
                  <c:v>0.51990563029095294</c:v>
                </c:pt>
                <c:pt idx="4">
                  <c:v>0.53469217850176542</c:v>
                </c:pt>
                <c:pt idx="5">
                  <c:v>0.57798212593098086</c:v>
                </c:pt>
                <c:pt idx="6">
                  <c:v>0.61247711748463673</c:v>
                </c:pt>
                <c:pt idx="7">
                  <c:v>0.6175965487175975</c:v>
                </c:pt>
                <c:pt idx="8">
                  <c:v>0.6226025869416284</c:v>
                </c:pt>
                <c:pt idx="9">
                  <c:v>0.62749826117216867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69-40B9-AF94-ADB3A80F2659}"/>
            </c:ext>
          </c:extLst>
        </c:ser>
        <c:ser>
          <c:idx val="1"/>
          <c:order val="1"/>
          <c:tx>
            <c:strRef>
              <c:f>БДР!$B$18</c:f>
              <c:strCache>
                <c:ptCount val="1"/>
                <c:pt idx="0">
                  <c:v>рент-ть по прибыли от продаж</c:v>
                </c:pt>
              </c:strCache>
            </c:strRef>
          </c:tx>
          <c:spPr>
            <a:effectLst/>
          </c:spPr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БДР!$F$18:$O$18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-0.43249913340333457</c:v>
                </c:pt>
                <c:pt idx="3">
                  <c:v>0.42985391200466017</c:v>
                </c:pt>
                <c:pt idx="4">
                  <c:v>0.44580061777850033</c:v>
                </c:pt>
                <c:pt idx="5">
                  <c:v>0.49023489345180382</c:v>
                </c:pt>
                <c:pt idx="6">
                  <c:v>0.52594182343097096</c:v>
                </c:pt>
                <c:pt idx="7">
                  <c:v>0.53225569677676865</c:v>
                </c:pt>
                <c:pt idx="8">
                  <c:v>0.53843896178043871</c:v>
                </c:pt>
                <c:pt idx="9">
                  <c:v>0.54449492290631929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69-40B9-AF94-ADB3A80F2659}"/>
            </c:ext>
          </c:extLst>
        </c:ser>
        <c:ser>
          <c:idx val="2"/>
          <c:order val="2"/>
          <c:tx>
            <c:strRef>
              <c:f>БДР!$B$29</c:f>
              <c:strCache>
                <c:ptCount val="1"/>
                <c:pt idx="0">
                  <c:v>рент-ть по чистой прибыли</c:v>
                </c:pt>
              </c:strCache>
            </c:strRef>
          </c:tx>
          <c:spPr>
            <a:ln>
              <a:solidFill>
                <a:srgbClr val="EC004F"/>
              </a:solidFill>
            </a:ln>
            <a:effectLst/>
          </c:spPr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БДР!$F$29:$O$29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-0.6944110505535912</c:v>
                </c:pt>
                <c:pt idx="3">
                  <c:v>0.34124752855364882</c:v>
                </c:pt>
                <c:pt idx="4">
                  <c:v>0.37185251437502043</c:v>
                </c:pt>
                <c:pt idx="5">
                  <c:v>0.42934158226108277</c:v>
                </c:pt>
                <c:pt idx="6">
                  <c:v>0.4773014774753</c:v>
                </c:pt>
                <c:pt idx="7">
                  <c:v>0.49553428253485199</c:v>
                </c:pt>
                <c:pt idx="8">
                  <c:v>0.48660724954899354</c:v>
                </c:pt>
                <c:pt idx="9">
                  <c:v>0.50206503072076525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F69-40B9-AF94-ADB3A80F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97199"/>
        <c:axId val="562602783"/>
      </c:line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Себестоимость млн.руб.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БДР!$B$53</c:f>
              <c:strCache>
                <c:ptCount val="1"/>
                <c:pt idx="0">
                  <c:v>Сырье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БДР!$F$53:$O$53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1400</c:v>
                </c:pt>
                <c:pt idx="3">
                  <c:v>4992.0000000000009</c:v>
                </c:pt>
                <c:pt idx="4">
                  <c:v>5191.6800000000012</c:v>
                </c:pt>
                <c:pt idx="5">
                  <c:v>5399.347200000002</c:v>
                </c:pt>
                <c:pt idx="6">
                  <c:v>5615.3210880000015</c:v>
                </c:pt>
                <c:pt idx="7">
                  <c:v>5839.9339315200014</c:v>
                </c:pt>
                <c:pt idx="8">
                  <c:v>6073.5312887808013</c:v>
                </c:pt>
                <c:pt idx="9">
                  <c:v>6316.4725403320344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8-4758-BBA3-B92F08D28016}"/>
            </c:ext>
          </c:extLst>
        </c:ser>
        <c:ser>
          <c:idx val="1"/>
          <c:order val="1"/>
          <c:tx>
            <c:strRef>
              <c:f>БДР!$B$54</c:f>
              <c:strCache>
                <c:ptCount val="1"/>
                <c:pt idx="0">
                  <c:v>Ресурсы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БДР!$F$54:$O$54</c:f>
              <c:numCache>
                <c:formatCode>#\ ##0_ ;[Red]\-#\ ##0\ </c:formatCode>
                <c:ptCount val="10"/>
                <c:pt idx="0">
                  <c:v>4685</c:v>
                </c:pt>
                <c:pt idx="1">
                  <c:v>4881.8</c:v>
                </c:pt>
                <c:pt idx="2">
                  <c:v>9457.026249999999</c:v>
                </c:pt>
                <c:pt idx="3">
                  <c:v>14158.022887499999</c:v>
                </c:pt>
                <c:pt idx="4">
                  <c:v>14623.022683687499</c:v>
                </c:pt>
                <c:pt idx="5">
                  <c:v>15104.089443739686</c:v>
                </c:pt>
                <c:pt idx="6">
                  <c:v>15530.835519859778</c:v>
                </c:pt>
                <c:pt idx="7">
                  <c:v>15971.99017650024</c:v>
                </c:pt>
                <c:pt idx="8">
                  <c:v>16428.089837944004</c:v>
                </c:pt>
                <c:pt idx="9">
                  <c:v>16899.691786661278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8-4758-BBA3-B92F08D28016}"/>
            </c:ext>
          </c:extLst>
        </c:ser>
        <c:ser>
          <c:idx val="2"/>
          <c:order val="2"/>
          <c:tx>
            <c:strRef>
              <c:f>БДР!$B$55</c:f>
              <c:strCache>
                <c:ptCount val="1"/>
                <c:pt idx="0">
                  <c:v>Оплата труда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БДР!$F$55:$O$55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21662.741299200003</c:v>
                </c:pt>
                <c:pt idx="3">
                  <c:v>22247.635314278399</c:v>
                </c:pt>
                <c:pt idx="4">
                  <c:v>22848.321467763915</c:v>
                </c:pt>
                <c:pt idx="5">
                  <c:v>23465.226147393536</c:v>
                </c:pt>
                <c:pt idx="6">
                  <c:v>24075.322027225768</c:v>
                </c:pt>
                <c:pt idx="7">
                  <c:v>24701.280399933643</c:v>
                </c:pt>
                <c:pt idx="8">
                  <c:v>25343.513690331918</c:v>
                </c:pt>
                <c:pt idx="9">
                  <c:v>26002.445046280547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8-4758-BBA3-B92F08D28016}"/>
            </c:ext>
          </c:extLst>
        </c:ser>
        <c:ser>
          <c:idx val="3"/>
          <c:order val="3"/>
          <c:tx>
            <c:strRef>
              <c:f>БДР!$B$56</c:f>
              <c:strCache>
                <c:ptCount val="1"/>
                <c:pt idx="0">
                  <c:v>Амортизация ускоренная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БДР!$F$56:$O$56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12476.190476190475</c:v>
                </c:pt>
                <c:pt idx="3">
                  <c:v>12476.190476190475</c:v>
                </c:pt>
                <c:pt idx="4">
                  <c:v>11642.523809523809</c:v>
                </c:pt>
                <c:pt idx="5">
                  <c:v>7237.6666666666661</c:v>
                </c:pt>
                <c:pt idx="6">
                  <c:v>3666.6666666666661</c:v>
                </c:pt>
                <c:pt idx="7">
                  <c:v>3666.6666666666661</c:v>
                </c:pt>
                <c:pt idx="8">
                  <c:v>3666.6666666666661</c:v>
                </c:pt>
                <c:pt idx="9">
                  <c:v>3666.6666666666661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78-4758-BBA3-B92F08D28016}"/>
            </c:ext>
          </c:extLst>
        </c:ser>
        <c:ser>
          <c:idx val="4"/>
          <c:order val="4"/>
          <c:tx>
            <c:strRef>
              <c:f>БДР!$B$57</c:f>
              <c:strCache>
                <c:ptCount val="1"/>
                <c:pt idx="0">
                  <c:v>Общепроизв. расходы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БДР!$F$57:$O$57</c:f>
              <c:numCache>
                <c:formatCode>#\ ##0_ ;[Red]\-#\ ##0\ </c:formatCode>
                <c:ptCount val="10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78-4758-BBA3-B92F08D28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overlap val="100"/>
        <c:axId val="1190947344"/>
        <c:axId val="1336566768"/>
      </c:barChart>
      <c:catAx>
        <c:axId val="119094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336566768"/>
        <c:crosses val="autoZero"/>
        <c:auto val="1"/>
        <c:lblAlgn val="ctr"/>
        <c:lblOffset val="100"/>
        <c:noMultiLvlLbl val="0"/>
      </c:catAx>
      <c:valAx>
        <c:axId val="133656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90947344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движения денежных средств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БДДС!$B$27</c:f>
              <c:strCache>
                <c:ptCount val="1"/>
                <c:pt idx="0">
                  <c:v>Чистый денежный поток по опер. деят-ти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БДДС!$F$3:$O$3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БДДС!$F$27:$O$27</c:f>
              <c:numCache>
                <c:formatCode>#\ ##0_ ;[Red]\-#\ ##0\ </c:formatCode>
                <c:ptCount val="10"/>
                <c:pt idx="0">
                  <c:v>-8088.8023999999996</c:v>
                </c:pt>
                <c:pt idx="1">
                  <c:v>-13940.552057599998</c:v>
                </c:pt>
                <c:pt idx="2">
                  <c:v>-14279.467301639401</c:v>
                </c:pt>
                <c:pt idx="3">
                  <c:v>50982.561598184227</c:v>
                </c:pt>
                <c:pt idx="4">
                  <c:v>55280.755040484219</c:v>
                </c:pt>
                <c:pt idx="5">
                  <c:v>59637.838187022237</c:v>
                </c:pt>
                <c:pt idx="6">
                  <c:v>64250.377941742932</c:v>
                </c:pt>
                <c:pt idx="7">
                  <c:v>69080.581371359804</c:v>
                </c:pt>
                <c:pt idx="8">
                  <c:v>70471.571368738878</c:v>
                </c:pt>
                <c:pt idx="9">
                  <c:v>75350.807881446002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C-4939-BFF4-6F05FC56C885}"/>
            </c:ext>
          </c:extLst>
        </c:ser>
        <c:ser>
          <c:idx val="1"/>
          <c:order val="1"/>
          <c:tx>
            <c:strRef>
              <c:f>БДДС!$B$38</c:f>
              <c:strCache>
                <c:ptCount val="1"/>
                <c:pt idx="0">
                  <c:v>Чистый денежный поток по инвест. деят-ти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cat>
            <c:numRef>
              <c:f>БДДС!$F$3:$O$3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БДДС!$F$38:$O$38</c:f>
              <c:numCache>
                <c:formatCode>#\ ##0_ ;[Red]\-#\ ##0\ </c:formatCode>
                <c:ptCount val="10"/>
                <c:pt idx="0">
                  <c:v>-18333.333333333332</c:v>
                </c:pt>
                <c:pt idx="1">
                  <c:v>-56666.666666666664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C-4939-BFF4-6F05FC56C885}"/>
            </c:ext>
          </c:extLst>
        </c:ser>
        <c:ser>
          <c:idx val="2"/>
          <c:order val="2"/>
          <c:tx>
            <c:strRef>
              <c:f>БДДС!$B$52</c:f>
              <c:strCache>
                <c:ptCount val="1"/>
                <c:pt idx="0">
                  <c:v>Чистый денежный поток по фин. деят-ти</c:v>
                </c:pt>
              </c:strCache>
            </c:strRef>
          </c:tx>
          <c:spPr>
            <a:solidFill>
              <a:srgbClr val="F6F6F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БДДС!$F$3:$O$3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БДДС!$F$52:$O$52</c:f>
              <c:numCache>
                <c:formatCode>#\ ##0_ ;[Red]\-#\ ##0\ </c:formatCode>
                <c:ptCount val="10"/>
                <c:pt idx="0">
                  <c:v>30000</c:v>
                </c:pt>
                <c:pt idx="1">
                  <c:v>95000</c:v>
                </c:pt>
                <c:pt idx="2">
                  <c:v>-11875</c:v>
                </c:pt>
                <c:pt idx="3">
                  <c:v>-11875</c:v>
                </c:pt>
                <c:pt idx="4">
                  <c:v>-11875</c:v>
                </c:pt>
                <c:pt idx="5">
                  <c:v>-11875</c:v>
                </c:pt>
                <c:pt idx="6">
                  <c:v>-11875</c:v>
                </c:pt>
                <c:pt idx="7">
                  <c:v>-11875</c:v>
                </c:pt>
                <c:pt idx="8">
                  <c:v>-11875</c:v>
                </c:pt>
                <c:pt idx="9">
                  <c:v>-11875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1C-4939-BFF4-6F05FC56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АКТИВЫ (млн.руб.)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Баланс!$A$5:$B$5</c:f>
              <c:strCache>
                <c:ptCount val="2"/>
                <c:pt idx="0">
                  <c:v>I</c:v>
                </c:pt>
                <c:pt idx="1">
                  <c:v>Внеоборотные активы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Баланс!$F$5:$O$5</c:f>
              <c:numCache>
                <c:formatCode>#\ ##0_ ;[Red]\-#\ ##0\ </c:formatCode>
                <c:ptCount val="10"/>
                <c:pt idx="0">
                  <c:v>18333.333333333332</c:v>
                </c:pt>
                <c:pt idx="1">
                  <c:v>75000</c:v>
                </c:pt>
                <c:pt idx="2">
                  <c:v>62523.809523809519</c:v>
                </c:pt>
                <c:pt idx="3">
                  <c:v>50047.619047619046</c:v>
                </c:pt>
                <c:pt idx="4">
                  <c:v>38405.095238095244</c:v>
                </c:pt>
                <c:pt idx="5">
                  <c:v>31167.428571428572</c:v>
                </c:pt>
                <c:pt idx="6">
                  <c:v>27500.761904761908</c:v>
                </c:pt>
                <c:pt idx="7">
                  <c:v>23834.095238095244</c:v>
                </c:pt>
                <c:pt idx="8">
                  <c:v>20167.42857142858</c:v>
                </c:pt>
                <c:pt idx="9">
                  <c:v>16500.761904761916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4-4903-BE04-B6076F1E5FEF}"/>
            </c:ext>
          </c:extLst>
        </c:ser>
        <c:ser>
          <c:idx val="1"/>
          <c:order val="1"/>
          <c:tx>
            <c:strRef>
              <c:f>Баланс!$A$12:$B$12</c:f>
              <c:strCache>
                <c:ptCount val="2"/>
                <c:pt idx="0">
                  <c:v>II</c:v>
                </c:pt>
                <c:pt idx="1">
                  <c:v>Оборотные активы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Баланс!$F$12:$O$12</c:f>
              <c:numCache>
                <c:formatCode>#\ ##0_ ;[Red]\-#\ ##0\ </c:formatCode>
                <c:ptCount val="10"/>
                <c:pt idx="0">
                  <c:v>3577.8642666666638</c:v>
                </c:pt>
                <c:pt idx="1">
                  <c:v>27970.645542399987</c:v>
                </c:pt>
                <c:pt idx="2">
                  <c:v>1816.1782407605788</c:v>
                </c:pt>
                <c:pt idx="3">
                  <c:v>40923.739838944806</c:v>
                </c:pt>
                <c:pt idx="4">
                  <c:v>84329.494879429025</c:v>
                </c:pt>
                <c:pt idx="5">
                  <c:v>132092.33306645125</c:v>
                </c:pt>
                <c:pt idx="6">
                  <c:v>184467.71100819414</c:v>
                </c:pt>
                <c:pt idx="7">
                  <c:v>241673.29237955395</c:v>
                </c:pt>
                <c:pt idx="8">
                  <c:v>300269.86374829285</c:v>
                </c:pt>
                <c:pt idx="9">
                  <c:v>363745.67162973888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4-4903-BE04-B6076F1E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1446351"/>
        <c:axId val="9948655"/>
      </c:barChart>
      <c:lineChart>
        <c:grouping val="standard"/>
        <c:varyColors val="0"/>
        <c:ser>
          <c:idx val="2"/>
          <c:order val="2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Баланс!$F$21:$O$21</c:f>
              <c:numCache>
                <c:formatCode>#\ ##0_ ;[Red]\-#\ ##0\ </c:formatCode>
                <c:ptCount val="10"/>
                <c:pt idx="0">
                  <c:v>21911.197599999996</c:v>
                </c:pt>
                <c:pt idx="1">
                  <c:v>102970.64554239999</c:v>
                </c:pt>
                <c:pt idx="2">
                  <c:v>64339.987764570098</c:v>
                </c:pt>
                <c:pt idx="3">
                  <c:v>90971.358886563859</c:v>
                </c:pt>
                <c:pt idx="4">
                  <c:v>122734.59011752426</c:v>
                </c:pt>
                <c:pt idx="5">
                  <c:v>163259.76163787983</c:v>
                </c:pt>
                <c:pt idx="6">
                  <c:v>211968.47291295603</c:v>
                </c:pt>
                <c:pt idx="7">
                  <c:v>265507.38761764922</c:v>
                </c:pt>
                <c:pt idx="8">
                  <c:v>320437.29231972143</c:v>
                </c:pt>
                <c:pt idx="9">
                  <c:v>380246.43353450077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4-4903-BE04-B6076F1E5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446351"/>
        <c:axId val="9948655"/>
      </c:lineChart>
      <c:catAx>
        <c:axId val="1751446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948655"/>
        <c:crosses val="autoZero"/>
        <c:auto val="1"/>
        <c:lblAlgn val="ctr"/>
        <c:lblOffset val="100"/>
        <c:noMultiLvlLbl val="0"/>
      </c:catAx>
      <c:valAx>
        <c:axId val="994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751446351"/>
        <c:crosses val="autoZero"/>
        <c:crossBetween val="between"/>
        <c:minorUnit val="2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238853424079"/>
          <c:y val="0.88946704578594338"/>
          <c:w val="0.4247522293151841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КАПИТАЛ И ОБЯЗАТЕЛЬСТВА (млн.руб.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Баланс!$A$23:$B$23</c:f>
              <c:strCache>
                <c:ptCount val="2"/>
                <c:pt idx="0">
                  <c:v>III</c:v>
                </c:pt>
                <c:pt idx="1">
                  <c:v>Капитал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Баланс!$F$23:$O$23</c:f>
              <c:numCache>
                <c:formatCode>#\ ##0_ ;[Red]\-#\ ##0\ </c:formatCode>
                <c:ptCount val="10"/>
                <c:pt idx="0">
                  <c:v>21911.1976</c:v>
                </c:pt>
                <c:pt idx="1">
                  <c:v>7970.6455423999978</c:v>
                </c:pt>
                <c:pt idx="2">
                  <c:v>-18785.012235429873</c:v>
                </c:pt>
                <c:pt idx="3">
                  <c:v>19721.358886563859</c:v>
                </c:pt>
                <c:pt idx="4">
                  <c:v>63359.590117524262</c:v>
                </c:pt>
                <c:pt idx="5">
                  <c:v>115759.76163787984</c:v>
                </c:pt>
                <c:pt idx="6">
                  <c:v>176343.47291295612</c:v>
                </c:pt>
                <c:pt idx="7">
                  <c:v>241757.38761764925</c:v>
                </c:pt>
                <c:pt idx="8">
                  <c:v>308562.29231972148</c:v>
                </c:pt>
                <c:pt idx="9">
                  <c:v>380246.43353450083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DF-4D57-81E9-2BC8D401E34E}"/>
            </c:ext>
          </c:extLst>
        </c:ser>
        <c:ser>
          <c:idx val="1"/>
          <c:order val="1"/>
          <c:tx>
            <c:strRef>
              <c:f>Баланс!$A$26:$B$26</c:f>
              <c:strCache>
                <c:ptCount val="2"/>
                <c:pt idx="0">
                  <c:v>IV</c:v>
                </c:pt>
                <c:pt idx="1">
                  <c:v>Долгосрочные обязательства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95000</c:v>
                </c:pt>
                <c:pt idx="2">
                  <c:v>83125</c:v>
                </c:pt>
                <c:pt idx="3">
                  <c:v>71250</c:v>
                </c:pt>
                <c:pt idx="4">
                  <c:v>59375</c:v>
                </c:pt>
                <c:pt idx="5">
                  <c:v>47500</c:v>
                </c:pt>
                <c:pt idx="6">
                  <c:v>35625</c:v>
                </c:pt>
                <c:pt idx="7">
                  <c:v>23750</c:v>
                </c:pt>
                <c:pt idx="8">
                  <c:v>11875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F-4D57-81E9-2BC8D401E34E}"/>
            </c:ext>
          </c:extLst>
        </c:ser>
        <c:ser>
          <c:idx val="2"/>
          <c:order val="2"/>
          <c:tx>
            <c:strRef>
              <c:f>Баланс!$A$31:$B$31</c:f>
              <c:strCache>
                <c:ptCount val="2"/>
                <c:pt idx="0">
                  <c:v>V</c:v>
                </c:pt>
                <c:pt idx="1">
                  <c:v>Краткосрочные обязательства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Баланс!$F$31:$O$31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F-4D57-81E9-2BC8D401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1441071"/>
        <c:axId val="1725108207"/>
      </c:barChart>
      <c:lineChart>
        <c:grouping val="standard"/>
        <c:varyColors val="0"/>
        <c:ser>
          <c:idx val="3"/>
          <c:order val="3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Баланс!$F$40:$O$40</c:f>
              <c:numCache>
                <c:formatCode>#\ ##0_ ;[Red]\-#\ ##0\ </c:formatCode>
                <c:ptCount val="10"/>
                <c:pt idx="0">
                  <c:v>21911.1976</c:v>
                </c:pt>
                <c:pt idx="1">
                  <c:v>102970.6455424</c:v>
                </c:pt>
                <c:pt idx="2">
                  <c:v>64339.987764570127</c:v>
                </c:pt>
                <c:pt idx="3">
                  <c:v>90971.358886563859</c:v>
                </c:pt>
                <c:pt idx="4">
                  <c:v>122734.59011752426</c:v>
                </c:pt>
                <c:pt idx="5">
                  <c:v>163259.76163787983</c:v>
                </c:pt>
                <c:pt idx="6">
                  <c:v>211968.47291295612</c:v>
                </c:pt>
                <c:pt idx="7">
                  <c:v>265507.38761764928</c:v>
                </c:pt>
                <c:pt idx="8">
                  <c:v>320437.29231972148</c:v>
                </c:pt>
                <c:pt idx="9">
                  <c:v>380246.43353450083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DF-4D57-81E9-2BC8D401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441071"/>
        <c:axId val="1725108207"/>
      </c:lineChart>
      <c:catAx>
        <c:axId val="175144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725108207"/>
        <c:crosses val="autoZero"/>
        <c:auto val="1"/>
        <c:lblAlgn val="ctr"/>
        <c:lblOffset val="100"/>
        <c:noMultiLvlLbl val="0"/>
      </c:catAx>
      <c:valAx>
        <c:axId val="172510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751441071"/>
        <c:crosses val="autoZero"/>
        <c:crossBetween val="between"/>
        <c:minorUnit val="2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Инвестиции. Остаточная стоимость ОС (млн.руб.)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Инвестиции!$B$11</c:f>
              <c:strCache>
                <c:ptCount val="1"/>
                <c:pt idx="0">
                  <c:v>Остаточная стоимость ОС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1C1C1C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Инвестиции!$F$3:$O$3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Инвестиции!$F$11:$O$11</c:f>
              <c:numCache>
                <c:formatCode>#\ ##0_ ;[Red]\-#\ ##0\ </c:formatCode>
                <c:ptCount val="10"/>
                <c:pt idx="0">
                  <c:v>18333.333333333332</c:v>
                </c:pt>
                <c:pt idx="1">
                  <c:v>75000</c:v>
                </c:pt>
                <c:pt idx="2">
                  <c:v>68761.904761904749</c:v>
                </c:pt>
                <c:pt idx="3">
                  <c:v>62523.809523809512</c:v>
                </c:pt>
                <c:pt idx="4">
                  <c:v>56285.714285714268</c:v>
                </c:pt>
                <c:pt idx="5">
                  <c:v>50047.619047619031</c:v>
                </c:pt>
                <c:pt idx="6">
                  <c:v>43809.523809523787</c:v>
                </c:pt>
                <c:pt idx="7">
                  <c:v>38404.761904761879</c:v>
                </c:pt>
                <c:pt idx="8">
                  <c:v>32999.999999999971</c:v>
                </c:pt>
                <c:pt idx="9">
                  <c:v>31166.666666666642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E-439D-A772-8A82813A13EE}"/>
            </c:ext>
          </c:extLst>
        </c:ser>
        <c:ser>
          <c:idx val="1"/>
          <c:order val="1"/>
          <c:tx>
            <c:strRef>
              <c:f>Инвестиции!$B$18</c:f>
              <c:strCache>
                <c:ptCount val="1"/>
                <c:pt idx="0">
                  <c:v>Остаточная стоимость ОС после ускор амортизации</c:v>
                </c:pt>
              </c:strCache>
            </c:strRef>
          </c:tx>
          <c:spPr>
            <a:ln w="28575" cap="rnd">
              <a:solidFill>
                <a:srgbClr val="EC004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solidFill>
                  <a:srgbClr val="EC004F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Инвестиции!$F$3:$O$3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Инвестиции!$F$18:$O$18</c:f>
              <c:numCache>
                <c:formatCode>#\ ##0_ ;[Red]\-#\ ##0\ </c:formatCode>
                <c:ptCount val="10"/>
                <c:pt idx="0">
                  <c:v>18333.333333333332</c:v>
                </c:pt>
                <c:pt idx="1">
                  <c:v>75000</c:v>
                </c:pt>
                <c:pt idx="2">
                  <c:v>62523.809523809519</c:v>
                </c:pt>
                <c:pt idx="3">
                  <c:v>50047.619047619046</c:v>
                </c:pt>
                <c:pt idx="4">
                  <c:v>38405.095238095244</c:v>
                </c:pt>
                <c:pt idx="5">
                  <c:v>31167.428571428572</c:v>
                </c:pt>
                <c:pt idx="6">
                  <c:v>27500.761904761908</c:v>
                </c:pt>
                <c:pt idx="7">
                  <c:v>23834.095238095244</c:v>
                </c:pt>
                <c:pt idx="8">
                  <c:v>20167.42857142858</c:v>
                </c:pt>
                <c:pt idx="9">
                  <c:v>16500.761904761916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E-439D-A772-8A82813A1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515472"/>
        <c:axId val="1582516912"/>
      </c:lineChart>
      <c:catAx>
        <c:axId val="1582515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82516912"/>
        <c:crosses val="autoZero"/>
        <c:auto val="1"/>
        <c:lblAlgn val="ctr"/>
        <c:lblOffset val="100"/>
        <c:noMultiLvlLbl val="0"/>
      </c:catAx>
      <c:valAx>
        <c:axId val="158251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58251547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Платежи по выплате Кредитов и процентов млн.руб.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Финансы!$B$23</c:f>
              <c:strCache>
                <c:ptCount val="1"/>
                <c:pt idx="0">
                  <c:v>Погашение кредита/займа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Финансы!$F$23:$O$23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11875</c:v>
                </c:pt>
                <c:pt idx="3">
                  <c:v>11875</c:v>
                </c:pt>
                <c:pt idx="4">
                  <c:v>11875</c:v>
                </c:pt>
                <c:pt idx="5">
                  <c:v>11875</c:v>
                </c:pt>
                <c:pt idx="6">
                  <c:v>11875</c:v>
                </c:pt>
                <c:pt idx="7">
                  <c:v>11875</c:v>
                </c:pt>
                <c:pt idx="8">
                  <c:v>11875</c:v>
                </c:pt>
                <c:pt idx="9">
                  <c:v>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A4-4892-B02E-BA3648638D89}"/>
            </c:ext>
          </c:extLst>
        </c:ser>
        <c:ser>
          <c:idx val="1"/>
          <c:order val="1"/>
          <c:tx>
            <c:strRef>
              <c:f>Финансы!$B$26</c:f>
              <c:strCache>
                <c:ptCount val="1"/>
                <c:pt idx="0">
                  <c:v>Оплата %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5700</c:v>
                </c:pt>
                <c:pt idx="2">
                  <c:v>10687.5</c:v>
                </c:pt>
                <c:pt idx="3">
                  <c:v>9262.5</c:v>
                </c:pt>
                <c:pt idx="4">
                  <c:v>7837.5</c:v>
                </c:pt>
                <c:pt idx="5">
                  <c:v>6412.5</c:v>
                </c:pt>
                <c:pt idx="6">
                  <c:v>4987.5</c:v>
                </c:pt>
                <c:pt idx="7">
                  <c:v>3562.5</c:v>
                </c:pt>
                <c:pt idx="8">
                  <c:v>2137.5</c:v>
                </c:pt>
                <c:pt idx="9">
                  <c:v>712.5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4-4892-B02E-BA364863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703076368"/>
        <c:axId val="709075136"/>
      </c:barChart>
      <c:lineChart>
        <c:grouping val="standard"/>
        <c:varyColors val="0"/>
        <c:ser>
          <c:idx val="2"/>
          <c:order val="2"/>
          <c:tx>
            <c:strRef>
              <c:f>Финансы!$B$24</c:f>
              <c:strCache>
                <c:ptCount val="1"/>
                <c:pt idx="0">
                  <c:v>Сумма кредита/займа на кон. периода</c:v>
                </c:pt>
              </c:strCache>
            </c:strRef>
          </c:tx>
          <c:spPr>
            <a:ln w="28575" cap="rnd">
              <a:solidFill>
                <a:srgbClr val="A3A3A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8145527127563055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4-4892-B02E-BA3648638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Финансы!$F$24:$O$24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95000</c:v>
                </c:pt>
                <c:pt idx="2">
                  <c:v>83125</c:v>
                </c:pt>
                <c:pt idx="3">
                  <c:v>71250</c:v>
                </c:pt>
                <c:pt idx="4">
                  <c:v>59375</c:v>
                </c:pt>
                <c:pt idx="5">
                  <c:v>47500</c:v>
                </c:pt>
                <c:pt idx="6">
                  <c:v>35625</c:v>
                </c:pt>
                <c:pt idx="7">
                  <c:v>23750</c:v>
                </c:pt>
                <c:pt idx="8">
                  <c:v>11875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6A4-4892-B02E-BA3648638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15184"/>
        <c:axId val="709061744"/>
      </c:lineChart>
      <c:catAx>
        <c:axId val="70307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09075136"/>
        <c:crosses val="autoZero"/>
        <c:auto val="1"/>
        <c:lblAlgn val="ctr"/>
        <c:lblOffset val="100"/>
        <c:noMultiLvlLbl val="0"/>
      </c:catAx>
      <c:valAx>
        <c:axId val="7090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03076368"/>
        <c:crosses val="autoZero"/>
        <c:crossBetween val="between"/>
        <c:dispUnits>
          <c:builtInUnit val="thousands"/>
        </c:dispUnits>
      </c:valAx>
      <c:valAx>
        <c:axId val="709061744"/>
        <c:scaling>
          <c:orientation val="minMax"/>
        </c:scaling>
        <c:delete val="0"/>
        <c:axPos val="r"/>
        <c:numFmt formatCode="#\ ##0_ ;[Red]\-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90915184"/>
        <c:crosses val="max"/>
        <c:crossBetween val="between"/>
        <c:dispUnits>
          <c:builtInUnit val="thousands"/>
        </c:dispUnits>
      </c:valAx>
      <c:catAx>
        <c:axId val="1190915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0906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Выручка млн.руб. без НДС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1645315986091954"/>
          <c:y val="0.18059598059598062"/>
          <c:w val="0.45966855941868034"/>
          <c:h val="0.672140826471535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D4-4479-ADEA-F5713EE6460A}"/>
              </c:ext>
            </c:extLst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9D4-4479-ADEA-F5713EE646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9D4-4479-ADEA-F5713EE6460A}"/>
              </c:ext>
            </c:extLst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9D4-4479-ADEA-F5713EE6460A}"/>
              </c:ext>
            </c:extLst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4-4479-ADEA-F5713EE6460A}"/>
              </c:ext>
            </c:extLst>
          </c:dPt>
          <c:cat>
            <c:strRef>
              <c:f>Выручка!$B$53:$B$57</c:f>
              <c:strCache>
                <c:ptCount val="5"/>
                <c:pt idx="0">
                  <c:v>Продукт / Услуга 1</c:v>
                </c:pt>
                <c:pt idx="1">
                  <c:v>Продукт / Услуга 2</c:v>
                </c:pt>
                <c:pt idx="2">
                  <c:v>Продукт / Услуга 3</c:v>
                </c:pt>
                <c:pt idx="3">
                  <c:v>Продукт / Услуга 4</c:v>
                </c:pt>
                <c:pt idx="4">
                  <c:v>Продукт / Услуга 5</c:v>
                </c:pt>
              </c:strCache>
            </c:strRef>
          </c:cat>
          <c:val>
            <c:numRef>
              <c:f>Выручка!$D$53:$D$57</c:f>
              <c:numCache>
                <c:formatCode>#\ ##0_ ;[Red]\-#\ ##0\ </c:formatCode>
                <c:ptCount val="5"/>
                <c:pt idx="0">
                  <c:v>919.68000000000006</c:v>
                </c:pt>
                <c:pt idx="1">
                  <c:v>8.4700000000000006</c:v>
                </c:pt>
                <c:pt idx="2">
                  <c:v>1.6300000000000001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4-4479-ADEA-F5713EE64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Выручка млн.руб. без НДС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Выручка!$B$53</c:f>
              <c:strCache>
                <c:ptCount val="1"/>
                <c:pt idx="0">
                  <c:v>Продукт / Услуга 1</c:v>
                </c:pt>
              </c:strCache>
            </c:strRef>
          </c:tx>
          <c:spPr>
            <a:solidFill>
              <a:schemeClr val="accent3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Выручка!$F$53:$O$53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38.28</c:v>
                </c:pt>
                <c:pt idx="3">
                  <c:v>111.59</c:v>
                </c:pt>
                <c:pt idx="4">
                  <c:v>116.06</c:v>
                </c:pt>
                <c:pt idx="5">
                  <c:v>120.7</c:v>
                </c:pt>
                <c:pt idx="6">
                  <c:v>125.53</c:v>
                </c:pt>
                <c:pt idx="7">
                  <c:v>130.55000000000001</c:v>
                </c:pt>
                <c:pt idx="8">
                  <c:v>135.77000000000001</c:v>
                </c:pt>
                <c:pt idx="9">
                  <c:v>141.19999999999999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41C8-830C-A05FFB1D2337}"/>
            </c:ext>
          </c:extLst>
        </c:ser>
        <c:ser>
          <c:idx val="1"/>
          <c:order val="1"/>
          <c:tx>
            <c:strRef>
              <c:f>Выручка!$B$54</c:f>
              <c:strCache>
                <c:ptCount val="1"/>
                <c:pt idx="0">
                  <c:v>Продукт / Услуга 2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Выручка!$F$54:$O$54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1.04</c:v>
                </c:pt>
                <c:pt idx="4">
                  <c:v>1.08</c:v>
                </c:pt>
                <c:pt idx="5">
                  <c:v>1.1200000000000001</c:v>
                </c:pt>
                <c:pt idx="6">
                  <c:v>1.17</c:v>
                </c:pt>
                <c:pt idx="7">
                  <c:v>1.22</c:v>
                </c:pt>
                <c:pt idx="8">
                  <c:v>1.27</c:v>
                </c:pt>
                <c:pt idx="9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B-41C8-830C-A05FFB1D2337}"/>
            </c:ext>
          </c:extLst>
        </c:ser>
        <c:ser>
          <c:idx val="2"/>
          <c:order val="2"/>
          <c:tx>
            <c:strRef>
              <c:f>Выручка!$B$55</c:f>
              <c:strCache>
                <c:ptCount val="1"/>
                <c:pt idx="0">
                  <c:v>Продукт / Услуга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Выручка!$F$55:$O$55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0.21</c:v>
                </c:pt>
                <c:pt idx="4">
                  <c:v>0.22</c:v>
                </c:pt>
                <c:pt idx="5">
                  <c:v>0.22</c:v>
                </c:pt>
                <c:pt idx="6">
                  <c:v>0.23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B-41C8-830C-A05FFB1D2337}"/>
            </c:ext>
          </c:extLst>
        </c:ser>
        <c:ser>
          <c:idx val="3"/>
          <c:order val="3"/>
          <c:tx>
            <c:strRef>
              <c:f>Выручка!$B$56</c:f>
              <c:strCache>
                <c:ptCount val="1"/>
                <c:pt idx="0">
                  <c:v>Продукт / Услуга 4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Выручка!$F$56:$O$56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CB-41C8-830C-A05FFB1D2337}"/>
            </c:ext>
          </c:extLst>
        </c:ser>
        <c:ser>
          <c:idx val="4"/>
          <c:order val="4"/>
          <c:tx>
            <c:strRef>
              <c:f>Выручка!$B$57</c:f>
              <c:strCache>
                <c:ptCount val="1"/>
                <c:pt idx="0">
                  <c:v>Продукт / Услуга 5</c:v>
                </c:pt>
              </c:strCache>
            </c:strRef>
          </c:tx>
          <c:spPr>
            <a:solidFill>
              <a:schemeClr val="accent3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numRef>
              <c:f>Выручка!$F$3:$O$3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Выручка!$F$57:$O$57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B-41C8-830C-A05FFB1D2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83200"/>
        <c:axId val="52002400"/>
      </c:barChart>
      <c:catAx>
        <c:axId val="5198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2002400"/>
        <c:crosses val="autoZero"/>
        <c:auto val="1"/>
        <c:lblAlgn val="ctr"/>
        <c:lblOffset val="100"/>
        <c:noMultiLvlLbl val="0"/>
      </c:catAx>
      <c:valAx>
        <c:axId val="5200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5198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Инж. и энерго ресурсы млн.руб. без НДС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shade val="4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C8-42A3-88A0-BF35E76FDA6E}"/>
              </c:ext>
            </c:extLst>
          </c:dPt>
          <c:dPt>
            <c:idx val="1"/>
            <c:bubble3D val="0"/>
            <c:spPr>
              <a:solidFill>
                <a:schemeClr val="accent3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C8-42A3-88A0-BF35E76FDA6E}"/>
              </c:ext>
            </c:extLst>
          </c:dPt>
          <c:dPt>
            <c:idx val="2"/>
            <c:bubble3D val="0"/>
            <c:spPr>
              <a:solidFill>
                <a:schemeClr val="accent3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C8-42A3-88A0-BF35E76FDA6E}"/>
              </c:ext>
            </c:extLst>
          </c:dPt>
          <c:dPt>
            <c:idx val="3"/>
            <c:bubble3D val="0"/>
            <c:spPr>
              <a:solidFill>
                <a:schemeClr val="accent3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C8-42A3-88A0-BF35E76FDA6E}"/>
              </c:ext>
            </c:extLst>
          </c:dPt>
          <c:dPt>
            <c:idx val="4"/>
            <c:bubble3D val="0"/>
            <c:spPr>
              <a:solidFill>
                <a:schemeClr val="accent3">
                  <a:tint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C8-42A3-88A0-BF35E76FDA6E}"/>
              </c:ext>
            </c:extLst>
          </c:dPt>
          <c:dPt>
            <c:idx val="5"/>
            <c:bubble3D val="0"/>
            <c:spPr>
              <a:solidFill>
                <a:schemeClr val="accent3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C8-42A3-88A0-BF35E76FDA6E}"/>
              </c:ext>
            </c:extLst>
          </c:dPt>
          <c:dPt>
            <c:idx val="6"/>
            <c:bubble3D val="0"/>
            <c:spPr>
              <a:solidFill>
                <a:schemeClr val="accent3">
                  <a:tint val="6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9C8-42A3-88A0-BF35E76FDA6E}"/>
              </c:ext>
            </c:extLst>
          </c:dPt>
          <c:dPt>
            <c:idx val="7"/>
            <c:bubble3D val="0"/>
            <c:spPr>
              <a:solidFill>
                <a:schemeClr val="accent3">
                  <a:tint val="4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C8-42A3-88A0-BF35E76FDA6E}"/>
              </c:ext>
            </c:extLst>
          </c:dPt>
          <c:dLbls>
            <c:dLbl>
              <c:idx val="0"/>
              <c:layout>
                <c:manualLayout>
                  <c:x val="9.0090217904827841E-3"/>
                  <c:y val="-0.1114827201783723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8-42A3-88A0-BF35E76FDA6E}"/>
                </c:ext>
              </c:extLst>
            </c:dLbl>
            <c:dLbl>
              <c:idx val="1"/>
              <c:layout>
                <c:manualLayout>
                  <c:x val="0.16516539949218437"/>
                  <c:y val="-0.16499442586399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8-42A3-88A0-BF35E76FDA6E}"/>
                </c:ext>
              </c:extLst>
            </c:dLbl>
            <c:dLbl>
              <c:idx val="2"/>
              <c:layout>
                <c:manualLayout>
                  <c:x val="0.1471473559112188"/>
                  <c:y val="-2.2296544035674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8-42A3-88A0-BF35E76FDA6E}"/>
                </c:ext>
              </c:extLst>
            </c:dLbl>
            <c:dLbl>
              <c:idx val="3"/>
              <c:layout>
                <c:manualLayout>
                  <c:x val="0.15015036317471306"/>
                  <c:y val="8.02675585284280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8-42A3-88A0-BF35E76FDA6E}"/>
                </c:ext>
              </c:extLst>
            </c:dLbl>
            <c:dLbl>
              <c:idx val="4"/>
              <c:layout>
                <c:manualLayout>
                  <c:x val="-0.15315337043820734"/>
                  <c:y val="0.1739130434782607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8-42A3-88A0-BF35E76FDA6E}"/>
                </c:ext>
              </c:extLst>
            </c:dLbl>
            <c:dLbl>
              <c:idx val="5"/>
              <c:layout>
                <c:manualLayout>
                  <c:x val="-0.26426463918749499"/>
                  <c:y val="-4.0876525189629406E-1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8-42A3-88A0-BF35E76FDA6E}"/>
                </c:ext>
              </c:extLst>
            </c:dLbl>
            <c:dLbl>
              <c:idx val="6"/>
              <c:layout>
                <c:manualLayout>
                  <c:x val="-0.11111126874928767"/>
                  <c:y val="-8.9186176142697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C8-42A3-88A0-BF35E76FDA6E}"/>
                </c:ext>
              </c:extLst>
            </c:dLbl>
            <c:dLbl>
              <c:idx val="7"/>
              <c:layout>
                <c:manualLayout>
                  <c:x val="-2.7027065371448299E-2"/>
                  <c:y val="-9.81047937569676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C8-42A3-88A0-BF35E76FD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Ресурсы!$B$55:$B$62</c:f>
              <c:strCache>
                <c:ptCount val="8"/>
                <c:pt idx="0">
                  <c:v>Электроэнергия потребление</c:v>
                </c:pt>
                <c:pt idx="1">
                  <c:v>Электроэнергия мощность</c:v>
                </c:pt>
                <c:pt idx="2">
                  <c:v>Вода пром. назначения</c:v>
                </c:pt>
                <c:pt idx="3">
                  <c:v>Вода хоз.-быт. назначения</c:v>
                </c:pt>
                <c:pt idx="4">
                  <c:v>Водоотведение пром. назначения</c:v>
                </c:pt>
                <c:pt idx="5">
                  <c:v>Водоотведение хоз.-быт. Назначения</c:v>
                </c:pt>
                <c:pt idx="6">
                  <c:v>Ливневая канализация</c:v>
                </c:pt>
                <c:pt idx="7">
                  <c:v>Теплоснабжение</c:v>
                </c:pt>
              </c:strCache>
            </c:strRef>
          </c:cat>
          <c:val>
            <c:numRef>
              <c:f>Ресурсы!$D$55:$D$62</c:f>
              <c:numCache>
                <c:formatCode>#\ ##0.0_ ;[Red]\-#\ ##0.0\ </c:formatCode>
                <c:ptCount val="8"/>
                <c:pt idx="0">
                  <c:v>11.9</c:v>
                </c:pt>
                <c:pt idx="1">
                  <c:v>0</c:v>
                </c:pt>
                <c:pt idx="2">
                  <c:v>8.01</c:v>
                </c:pt>
                <c:pt idx="3">
                  <c:v>27.13</c:v>
                </c:pt>
                <c:pt idx="4">
                  <c:v>32.099999999999994</c:v>
                </c:pt>
                <c:pt idx="5">
                  <c:v>0</c:v>
                </c:pt>
                <c:pt idx="6">
                  <c:v>6.04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9C8-42A3-88A0-BF35E76F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Инж. и энерго ресурсы млн.руб. без НДС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Ресурсы!$B$55</c:f>
              <c:strCache>
                <c:ptCount val="1"/>
                <c:pt idx="0">
                  <c:v>Электроэнергия потребление</c:v>
                </c:pt>
              </c:strCache>
            </c:strRef>
          </c:tx>
          <c:spPr>
            <a:solidFill>
              <a:schemeClr val="accent3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Ресурсы!$F$55:$O$55</c:f>
              <c:numCache>
                <c:formatCode>#\ ##0.0_ ;[Red]\-#\ ##0.0\ </c:formatCode>
                <c:ptCount val="10"/>
                <c:pt idx="0">
                  <c:v>0.94</c:v>
                </c:pt>
                <c:pt idx="1">
                  <c:v>0.96</c:v>
                </c:pt>
                <c:pt idx="2">
                  <c:v>0.99</c:v>
                </c:pt>
                <c:pt idx="3">
                  <c:v>1.21</c:v>
                </c:pt>
                <c:pt idx="4">
                  <c:v>1.24</c:v>
                </c:pt>
                <c:pt idx="5">
                  <c:v>1.28</c:v>
                </c:pt>
                <c:pt idx="6">
                  <c:v>1.29</c:v>
                </c:pt>
                <c:pt idx="7">
                  <c:v>1.31</c:v>
                </c:pt>
                <c:pt idx="8">
                  <c:v>1.33</c:v>
                </c:pt>
                <c:pt idx="9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C-4882-A73D-516CB563F76D}"/>
            </c:ext>
          </c:extLst>
        </c:ser>
        <c:ser>
          <c:idx val="1"/>
          <c:order val="1"/>
          <c:tx>
            <c:strRef>
              <c:f>Ресурсы!$B$56</c:f>
              <c:strCache>
                <c:ptCount val="1"/>
                <c:pt idx="0">
                  <c:v>Электроэнергия мощность</c:v>
                </c:pt>
              </c:strCache>
            </c:strRef>
          </c:tx>
          <c:spPr>
            <a:solidFill>
              <a:schemeClr val="accent3">
                <a:shade val="61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Ресурсы!$F$56:$O$56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C-4882-A73D-516CB563F76D}"/>
            </c:ext>
          </c:extLst>
        </c:ser>
        <c:ser>
          <c:idx val="2"/>
          <c:order val="2"/>
          <c:tx>
            <c:strRef>
              <c:f>Ресурсы!$B$57</c:f>
              <c:strCache>
                <c:ptCount val="1"/>
                <c:pt idx="0">
                  <c:v>Вода пром. назначения</c:v>
                </c:pt>
              </c:strCache>
            </c:strRef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Ресурсы!$F$57:$O$57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0.87</c:v>
                </c:pt>
                <c:pt idx="3">
                  <c:v>0.9</c:v>
                </c:pt>
                <c:pt idx="4">
                  <c:v>0.94</c:v>
                </c:pt>
                <c:pt idx="5">
                  <c:v>0.98</c:v>
                </c:pt>
                <c:pt idx="6">
                  <c:v>1.02</c:v>
                </c:pt>
                <c:pt idx="7">
                  <c:v>1.06</c:v>
                </c:pt>
                <c:pt idx="8">
                  <c:v>1.1000000000000001</c:v>
                </c:pt>
                <c:pt idx="9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C-4882-A73D-516CB563F76D}"/>
            </c:ext>
          </c:extLst>
        </c:ser>
        <c:ser>
          <c:idx val="3"/>
          <c:order val="3"/>
          <c:tx>
            <c:strRef>
              <c:f>Ресурсы!$B$58</c:f>
              <c:strCache>
                <c:ptCount val="1"/>
                <c:pt idx="0">
                  <c:v>Вода хоз.-быт. назначения</c:v>
                </c:pt>
              </c:strCache>
            </c:strRef>
          </c:tx>
          <c:spPr>
            <a:solidFill>
              <a:schemeClr val="accent3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Ресурсы!$F$58:$O$58</c:f>
              <c:numCache>
                <c:formatCode>#\ ##0.0_ ;[Red]\-#\ ##0.0\ </c:formatCode>
                <c:ptCount val="10"/>
                <c:pt idx="0">
                  <c:v>2.25</c:v>
                </c:pt>
                <c:pt idx="1">
                  <c:v>2.35</c:v>
                </c:pt>
                <c:pt idx="2">
                  <c:v>2.4500000000000002</c:v>
                </c:pt>
                <c:pt idx="3">
                  <c:v>2.54</c:v>
                </c:pt>
                <c:pt idx="4">
                  <c:v>2.64</c:v>
                </c:pt>
                <c:pt idx="5">
                  <c:v>2.75</c:v>
                </c:pt>
                <c:pt idx="6">
                  <c:v>2.86</c:v>
                </c:pt>
                <c:pt idx="7">
                  <c:v>2.98</c:v>
                </c:pt>
                <c:pt idx="8">
                  <c:v>3.09</c:v>
                </c:pt>
                <c:pt idx="9">
                  <c:v>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8C-4882-A73D-516CB563F76D}"/>
            </c:ext>
          </c:extLst>
        </c:ser>
        <c:ser>
          <c:idx val="4"/>
          <c:order val="4"/>
          <c:tx>
            <c:strRef>
              <c:f>Ресурсы!$B$59</c:f>
              <c:strCache>
                <c:ptCount val="1"/>
                <c:pt idx="0">
                  <c:v>Водоотведение пром. назначения</c:v>
                </c:pt>
              </c:strCache>
            </c:strRef>
          </c:tx>
          <c:spPr>
            <a:solidFill>
              <a:schemeClr val="accent3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Ресурсы!$F$59:$O$59</c:f>
              <c:numCache>
                <c:formatCode>#\ ##0.0_ ;[Red]\-#\ ##0.0\ </c:formatCode>
                <c:ptCount val="10"/>
                <c:pt idx="0">
                  <c:v>1</c:v>
                </c:pt>
                <c:pt idx="1">
                  <c:v>1.05</c:v>
                </c:pt>
                <c:pt idx="2">
                  <c:v>3.26</c:v>
                </c:pt>
                <c:pt idx="3">
                  <c:v>3.39</c:v>
                </c:pt>
                <c:pt idx="4">
                  <c:v>3.53</c:v>
                </c:pt>
                <c:pt idx="5">
                  <c:v>3.67</c:v>
                </c:pt>
                <c:pt idx="6">
                  <c:v>3.81</c:v>
                </c:pt>
                <c:pt idx="7">
                  <c:v>3.97</c:v>
                </c:pt>
                <c:pt idx="8">
                  <c:v>4.13</c:v>
                </c:pt>
                <c:pt idx="9">
                  <c:v>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C-4882-A73D-516CB563F76D}"/>
            </c:ext>
          </c:extLst>
        </c:ser>
        <c:ser>
          <c:idx val="5"/>
          <c:order val="5"/>
          <c:tx>
            <c:strRef>
              <c:f>Ресурсы!$B$60</c:f>
              <c:strCache>
                <c:ptCount val="1"/>
                <c:pt idx="0">
                  <c:v>Водоотведение хоз.-быт. Назначения</c:v>
                </c:pt>
              </c:strCache>
            </c:strRef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Ресурсы!$F$60:$O$60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C-4882-A73D-516CB563F76D}"/>
            </c:ext>
          </c:extLst>
        </c:ser>
        <c:ser>
          <c:idx val="6"/>
          <c:order val="6"/>
          <c:tx>
            <c:strRef>
              <c:f>Ресурсы!$B$61</c:f>
              <c:strCache>
                <c:ptCount val="1"/>
                <c:pt idx="0">
                  <c:v>Ливневая канализация</c:v>
                </c:pt>
              </c:strCache>
            </c:strRef>
          </c:tx>
          <c:spPr>
            <a:solidFill>
              <a:schemeClr val="accent3">
                <a:tint val="62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Ресурсы!$F$61:$O$61</c:f>
              <c:numCache>
                <c:formatCode>#\ ##0.0_ ;[Red]\-#\ ##0.0\ </c:formatCode>
                <c:ptCount val="10"/>
                <c:pt idx="0">
                  <c:v>0.5</c:v>
                </c:pt>
                <c:pt idx="1">
                  <c:v>0.52</c:v>
                </c:pt>
                <c:pt idx="2">
                  <c:v>0.54</c:v>
                </c:pt>
                <c:pt idx="3">
                  <c:v>0.56999999999999995</c:v>
                </c:pt>
                <c:pt idx="4">
                  <c:v>0.59</c:v>
                </c:pt>
                <c:pt idx="5">
                  <c:v>0.61</c:v>
                </c:pt>
                <c:pt idx="6">
                  <c:v>0.64</c:v>
                </c:pt>
                <c:pt idx="7">
                  <c:v>0.66</c:v>
                </c:pt>
                <c:pt idx="8">
                  <c:v>0.69</c:v>
                </c:pt>
                <c:pt idx="9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C-4882-A73D-516CB563F76D}"/>
            </c:ext>
          </c:extLst>
        </c:ser>
        <c:ser>
          <c:idx val="7"/>
          <c:order val="7"/>
          <c:tx>
            <c:strRef>
              <c:f>Ресурсы!$B$62</c:f>
              <c:strCache>
                <c:ptCount val="1"/>
                <c:pt idx="0">
                  <c:v>Теплоснабжение</c:v>
                </c:pt>
              </c:strCache>
            </c:strRef>
          </c:tx>
          <c:spPr>
            <a:solidFill>
              <a:schemeClr val="accent3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numRef>
              <c:f>Ресурсы!$F$3:$O$3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Ресурсы!$F$62:$O$62</c:f>
              <c:numCache>
                <c:formatCode>#\ ##0.0_ ;[Red]\-#\ ##0.0\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C-4882-A73D-516CB563F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1389552"/>
        <c:axId val="391391472"/>
      </c:barChart>
      <c:catAx>
        <c:axId val="391389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1391472"/>
        <c:crosses val="autoZero"/>
        <c:auto val="1"/>
        <c:lblAlgn val="ctr"/>
        <c:lblOffset val="100"/>
        <c:noMultiLvlLbl val="0"/>
      </c:catAx>
      <c:valAx>
        <c:axId val="39139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[Red]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138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Оплата труда с соц.взносами тыс.руб.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Персонал!$B$30</c:f>
              <c:strCache>
                <c:ptCount val="1"/>
                <c:pt idx="0">
                  <c:v>Основной производственный персонал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cat>
            <c:numRef>
              <c:f>Персонал!$F$3:$O$3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Персонал!$F$30:$O$30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26252.987596800001</c:v>
                </c:pt>
                <c:pt idx="3">
                  <c:v>26961.818261913599</c:v>
                </c:pt>
                <c:pt idx="4">
                  <c:v>27689.787354985267</c:v>
                </c:pt>
                <c:pt idx="5">
                  <c:v>28437.411613569864</c:v>
                </c:pt>
                <c:pt idx="6">
                  <c:v>29176.78431552268</c:v>
                </c:pt>
                <c:pt idx="7">
                  <c:v>29935.380707726272</c:v>
                </c:pt>
                <c:pt idx="8">
                  <c:v>30713.700606127157</c:v>
                </c:pt>
                <c:pt idx="9">
                  <c:v>31512.256821886462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D-42AA-8C0B-2C5AED5EBFC4}"/>
            </c:ext>
          </c:extLst>
        </c:ser>
        <c:ser>
          <c:idx val="1"/>
          <c:order val="1"/>
          <c:tx>
            <c:strRef>
              <c:f>Персонал!$B$31</c:f>
              <c:strCache>
                <c:ptCount val="1"/>
                <c:pt idx="0">
                  <c:v>Адм.-управленч. персонал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cat>
            <c:numRef>
              <c:f>Персонал!$F$3:$O$3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Персонал!$F$31:$O$31</c:f>
              <c:numCache>
                <c:formatCode>#\ ##0_ ;[Red]\-#\ ##0\ </c:formatCode>
                <c:ptCount val="10"/>
                <c:pt idx="0">
                  <c:v>3755.52</c:v>
                </c:pt>
                <c:pt idx="1">
                  <c:v>3845.6524799999997</c:v>
                </c:pt>
                <c:pt idx="2">
                  <c:v>11813.84441856</c:v>
                </c:pt>
                <c:pt idx="3">
                  <c:v>12132.818217861119</c:v>
                </c:pt>
                <c:pt idx="4">
                  <c:v>12460.40430974337</c:v>
                </c:pt>
                <c:pt idx="5">
                  <c:v>12796.835226106439</c:v>
                </c:pt>
                <c:pt idx="6">
                  <c:v>13129.552941985206</c:v>
                </c:pt>
                <c:pt idx="7">
                  <c:v>13470.921318476823</c:v>
                </c:pt>
                <c:pt idx="8">
                  <c:v>13821.16527275722</c:v>
                </c:pt>
                <c:pt idx="9">
                  <c:v>14180.515569848907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D-42AA-8C0B-2C5AED5EB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118944"/>
        <c:axId val="660267248"/>
      </c:barChart>
      <c:catAx>
        <c:axId val="63811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60267248"/>
        <c:crosses val="autoZero"/>
        <c:auto val="1"/>
        <c:lblAlgn val="ctr"/>
        <c:lblOffset val="100"/>
        <c:noMultiLvlLbl val="0"/>
      </c:catAx>
      <c:valAx>
        <c:axId val="6602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63811894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Оплата труда с соц.взносами тыс.руб.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A3A3A3"/>
            </a:solidFill>
          </c:spPr>
          <c:explosion val="1"/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A-40B9-874A-EDD8DD833CC1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6A-40B9-874A-EDD8DD833CC1}"/>
              </c:ext>
            </c:extLst>
          </c:dPt>
          <c:dLbls>
            <c:dLbl>
              <c:idx val="0"/>
              <c:layout>
                <c:manualLayout>
                  <c:x val="0.18125986370071054"/>
                  <c:y val="6.4590542099192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A-40B9-874A-EDD8DD833CC1}"/>
                </c:ext>
              </c:extLst>
            </c:dLbl>
            <c:dLbl>
              <c:idx val="1"/>
              <c:layout>
                <c:manualLayout>
                  <c:x val="-0.18433206478038358"/>
                  <c:y val="-5.997693194925026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A-40B9-874A-EDD8DD833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Персонал!$B$30:$B$31</c:f>
              <c:strCache>
                <c:ptCount val="2"/>
                <c:pt idx="0">
                  <c:v>Основной производственный персонал</c:v>
                </c:pt>
                <c:pt idx="1">
                  <c:v>Адм.-управленч. персонал</c:v>
                </c:pt>
              </c:strCache>
            </c:strRef>
          </c:cat>
          <c:val>
            <c:numRef>
              <c:f>Персонал!$D$30:$D$31</c:f>
              <c:numCache>
                <c:formatCode>#\ ##0_ ;[Red]\-#\ ##0\ </c:formatCode>
                <c:ptCount val="2"/>
                <c:pt idx="0">
                  <c:v>230680.12727853129</c:v>
                </c:pt>
                <c:pt idx="1">
                  <c:v>111407.22975533908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6A-40B9-874A-EDD8DD833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КПЭ!$A$5</c:f>
          <c:strCache>
            <c:ptCount val="1"/>
            <c:pt idx="0">
              <c:v>Показатели эффективности проекта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КПЭ!$B$32</c:f>
              <c:strCache>
                <c:ptCount val="1"/>
                <c:pt idx="0">
                  <c:v>Свободный денежный поток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26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00-45AC-93C0-7111C6EDCCB9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КПЭ!$F$33:$O$33</c:f>
              <c:numCache>
                <c:formatCode>#\ ##0_ ;[Red]\-#\ ##0\ </c:formatCode>
                <c:ptCount val="10"/>
                <c:pt idx="0">
                  <c:v>-26422.135733333333</c:v>
                </c:pt>
                <c:pt idx="1">
                  <c:v>-97029.354457599984</c:v>
                </c:pt>
                <c:pt idx="2">
                  <c:v>-111308.82175923939</c:v>
                </c:pt>
                <c:pt idx="3">
                  <c:v>-60326.260161055165</c:v>
                </c:pt>
                <c:pt idx="4">
                  <c:v>-5045.505120570946</c:v>
                </c:pt>
                <c:pt idx="5">
                  <c:v>54592.333066451291</c:v>
                </c:pt>
                <c:pt idx="6">
                  <c:v>118842.71100819422</c:v>
                </c:pt>
                <c:pt idx="7">
                  <c:v>187923.29237955401</c:v>
                </c:pt>
                <c:pt idx="8">
                  <c:v>258394.8637482929</c:v>
                </c:pt>
                <c:pt idx="9">
                  <c:v>333745.67162973888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900-45AC-93C0-7111C6EDCCB9}"/>
            </c:ext>
          </c:extLst>
        </c:ser>
        <c:ser>
          <c:idx val="1"/>
          <c:order val="1"/>
          <c:tx>
            <c:strRef>
              <c:f>КПЭ!$B$6</c:f>
              <c:strCache>
                <c:ptCount val="1"/>
                <c:pt idx="0">
                  <c:v>DCF накопленным итогом при ставке дисконтирования 11,36%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КПЭ!$F$6:$O$6</c:f>
              <c:numCache>
                <c:formatCode>#\ ##0_ ;[Red]\-#\ ##0\ </c:formatCode>
                <c:ptCount val="10"/>
                <c:pt idx="0">
                  <c:v>-26422.135733333333</c:v>
                </c:pt>
                <c:pt idx="1">
                  <c:v>-89828.651884364226</c:v>
                </c:pt>
                <c:pt idx="2">
                  <c:v>-101344.11955592071</c:v>
                </c:pt>
                <c:pt idx="3">
                  <c:v>-64433.781152236152</c:v>
                </c:pt>
                <c:pt idx="4">
                  <c:v>-28493.197334378528</c:v>
                </c:pt>
                <c:pt idx="5">
                  <c:v>6325.9266713910838</c:v>
                </c:pt>
                <c:pt idx="6">
                  <c:v>40012.467912696346</c:v>
                </c:pt>
                <c:pt idx="7">
                  <c:v>72528.198727929281</c:v>
                </c:pt>
                <c:pt idx="8">
                  <c:v>102315.851189993</c:v>
                </c:pt>
                <c:pt idx="9">
                  <c:v>130917.76033869467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900-45AC-93C0-7111C6EDC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41920"/>
        <c:axId val="920543119"/>
      </c:lineChart>
      <c:catAx>
        <c:axId val="17674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20543119"/>
        <c:crosses val="autoZero"/>
        <c:auto val="1"/>
        <c:lblAlgn val="ctr"/>
        <c:lblOffset val="100"/>
        <c:noMultiLvlLbl val="0"/>
      </c:catAx>
      <c:valAx>
        <c:axId val="92054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767419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Денежные потоки (млн.руб.)</a:t>
            </a:r>
          </a:p>
        </c:rich>
      </c:tx>
      <c:layout>
        <c:manualLayout>
          <c:xMode val="edge"/>
          <c:yMode val="edge"/>
          <c:x val="0.35195445687288174"/>
          <c:y val="1.6949152542372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1792560291494431E-2"/>
          <c:y val="0.19563993060189511"/>
          <c:w val="0.90587015015391459"/>
          <c:h val="0.65817296143066861"/>
        </c:manualLayout>
      </c:layout>
      <c:lineChart>
        <c:grouping val="standard"/>
        <c:varyColors val="0"/>
        <c:ser>
          <c:idx val="0"/>
          <c:order val="0"/>
          <c:tx>
            <c:strRef>
              <c:f>Чувствительность!$B$83</c:f>
              <c:strCache>
                <c:ptCount val="1"/>
                <c:pt idx="0">
                  <c:v>Свободный денежный поток нарастающим итогом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26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80-4773-BBBF-9944764DAFB8}"/>
                </c:ext>
              </c:extLst>
            </c:dLbl>
            <c:dLbl>
              <c:idx val="9"/>
              <c:layout>
                <c:manualLayout>
                  <c:x val="-1.2397275650147839E-2"/>
                  <c:y val="-5.707638240135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FA-4334-BF76-52295F09DCAF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Чувствительность!$F$3:$O$3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Чувствительность!$F$83:$O$83</c:f>
              <c:numCache>
                <c:formatCode>#\ ##0_ ;[Red]\-#\ ##0\ </c:formatCode>
                <c:ptCount val="10"/>
                <c:pt idx="0">
                  <c:v>-26422.135733333333</c:v>
                </c:pt>
                <c:pt idx="1">
                  <c:v>-97029.354457599984</c:v>
                </c:pt>
                <c:pt idx="2">
                  <c:v>-111308.82175923939</c:v>
                </c:pt>
                <c:pt idx="3">
                  <c:v>-60326.260161055179</c:v>
                </c:pt>
                <c:pt idx="4">
                  <c:v>-5045.5051205709606</c:v>
                </c:pt>
                <c:pt idx="5">
                  <c:v>54592.333066451276</c:v>
                </c:pt>
                <c:pt idx="6">
                  <c:v>118842.71100819421</c:v>
                </c:pt>
                <c:pt idx="7">
                  <c:v>187923.29237955401</c:v>
                </c:pt>
                <c:pt idx="8">
                  <c:v>258394.8637482929</c:v>
                </c:pt>
                <c:pt idx="9">
                  <c:v>333745.67162973888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80-4773-BBBF-9944764DAFB8}"/>
            </c:ext>
          </c:extLst>
        </c:ser>
        <c:ser>
          <c:idx val="1"/>
          <c:order val="1"/>
          <c:tx>
            <c:strRef>
              <c:f>Чувствительность!$B$11</c:f>
              <c:strCache>
                <c:ptCount val="1"/>
                <c:pt idx="0">
                  <c:v>DCF накопленным итогом при ставке дисконтирования 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Чувствительность!$F$3:$O$3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Чувствительность!$F$11:$O$11</c:f>
              <c:numCache>
                <c:formatCode>#\ ##0_ ;[Red]\-#\ ##0\ </c:formatCode>
                <c:ptCount val="10"/>
                <c:pt idx="0">
                  <c:v>-26422.135733333333</c:v>
                </c:pt>
                <c:pt idx="1">
                  <c:v>-89828.651884364226</c:v>
                </c:pt>
                <c:pt idx="2">
                  <c:v>-101344.11955592071</c:v>
                </c:pt>
                <c:pt idx="3">
                  <c:v>-64433.781152236166</c:v>
                </c:pt>
                <c:pt idx="4">
                  <c:v>-28493.197334378543</c:v>
                </c:pt>
                <c:pt idx="5">
                  <c:v>6325.9266713910692</c:v>
                </c:pt>
                <c:pt idx="6">
                  <c:v>40012.467912696331</c:v>
                </c:pt>
                <c:pt idx="7">
                  <c:v>72528.198727929266</c:v>
                </c:pt>
                <c:pt idx="8">
                  <c:v>102315.851189993</c:v>
                </c:pt>
                <c:pt idx="9">
                  <c:v>130917.76033869467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580-4773-BBBF-9944764DA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41920"/>
        <c:axId val="920543119"/>
      </c:lineChart>
      <c:catAx>
        <c:axId val="17674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920543119"/>
        <c:crosses val="autoZero"/>
        <c:auto val="1"/>
        <c:lblAlgn val="ctr"/>
        <c:lblOffset val="100"/>
        <c:noMultiLvlLbl val="0"/>
      </c:catAx>
      <c:valAx>
        <c:axId val="92054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7674192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400"/>
            </a:pPr>
            <a:r>
              <a:rPr lang="ru-RU" sz="1400"/>
              <a:t>Налоги и сборы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51093963423004"/>
          <c:y val="0.13053601554869326"/>
          <c:w val="0.40267806540731454"/>
          <c:h val="0.79731417774381641"/>
        </c:manualLayout>
      </c:layout>
      <c:doughnutChart>
        <c:varyColors val="1"/>
        <c:ser>
          <c:idx val="0"/>
          <c:order val="0"/>
          <c:spPr>
            <a:solidFill>
              <a:srgbClr val="A3A3A3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AF-4633-B4C6-16262D785984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AF-4633-B4C6-16262D785984}"/>
              </c:ext>
            </c:extLst>
          </c:dPt>
          <c:dPt>
            <c:idx val="2"/>
            <c:bubble3D val="0"/>
            <c:spPr>
              <a:solidFill>
                <a:srgbClr val="1C1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AF-4633-B4C6-16262D785984}"/>
              </c:ext>
            </c:extLst>
          </c:dPt>
          <c:dLbls>
            <c:dLbl>
              <c:idx val="0"/>
              <c:layout>
                <c:manualLayout>
                  <c:x val="-0.15555555555555556"/>
                  <c:y val="-6.944444444444444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F-4633-B4C6-16262D785984}"/>
                </c:ext>
              </c:extLst>
            </c:dLbl>
            <c:dLbl>
              <c:idx val="1"/>
              <c:layout>
                <c:manualLayout>
                  <c:x val="0.1361111111111111"/>
                  <c:y val="-0.2453703703703703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AF-4633-B4C6-16262D785984}"/>
                </c:ext>
              </c:extLst>
            </c:dLbl>
            <c:dLbl>
              <c:idx val="2"/>
              <c:layout>
                <c:manualLayout>
                  <c:x val="0.18333333333333324"/>
                  <c:y val="-9.72222222222222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AF-4633-B4C6-16262D785984}"/>
                </c:ext>
              </c:extLst>
            </c:dLbl>
            <c:dLbl>
              <c:idx val="3"/>
              <c:layout>
                <c:manualLayout>
                  <c:x val="0.23243530050308986"/>
                  <c:y val="0.1664002341182393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AF-4633-B4C6-16262D7859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НалогСвод!$B$16:$B$19</c:f>
              <c:strCache>
                <c:ptCount val="4"/>
                <c:pt idx="0">
                  <c:v>федеральный бюджет</c:v>
                </c:pt>
                <c:pt idx="1">
                  <c:v>региональный обл. бюджет</c:v>
                </c:pt>
                <c:pt idx="2">
                  <c:v>местный бюджет</c:v>
                </c:pt>
                <c:pt idx="3">
                  <c:v>Страховые взносы</c:v>
                </c:pt>
              </c:strCache>
            </c:strRef>
          </c:cat>
          <c:val>
            <c:numRef>
              <c:f>НалогСвод!$E$16:$E$19</c:f>
              <c:numCache>
                <c:formatCode>General</c:formatCode>
                <c:ptCount val="4"/>
                <c:pt idx="0">
                  <c:v>159</c:v>
                </c:pt>
                <c:pt idx="1">
                  <c:v>36</c:v>
                </c:pt>
                <c:pt idx="2">
                  <c:v>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AF-4633-B4C6-16262D785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2"/>
        <c:holeSize val="75"/>
      </c:doughnut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A3A3A3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НДФЛ (млн.руб.)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EC004F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CC-473F-B784-08CDD5483412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CC-473F-B784-08CDD5483412}"/>
              </c:ext>
            </c:extLst>
          </c:dPt>
          <c:dLbls>
            <c:dLbl>
              <c:idx val="0"/>
              <c:layout>
                <c:manualLayout>
                  <c:x val="-0.16901709401709403"/>
                  <c:y val="6.513415070709016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62393162393163"/>
                      <c:h val="0.382467732952033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0CC-473F-B784-08CDD5483412}"/>
                </c:ext>
              </c:extLst>
            </c:dLbl>
            <c:dLbl>
              <c:idx val="1"/>
              <c:layout>
                <c:manualLayout>
                  <c:x val="0.22252708796015894"/>
                  <c:y val="-6.99553077912488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26785113399286"/>
                      <c:h val="0.437375821998110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0CC-473F-B784-08CDD54834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Персонал!$B$53:$B$54</c:f>
              <c:strCache>
                <c:ptCount val="2"/>
                <c:pt idx="0">
                  <c:v>регион. бюджет</c:v>
                </c:pt>
                <c:pt idx="1">
                  <c:v>местный бюджет</c:v>
                </c:pt>
              </c:strCache>
            </c:strRef>
          </c:cat>
          <c:val>
            <c:numRef>
              <c:f>Персонал!$A$53:$A$54</c:f>
              <c:numCache>
                <c:formatCode>#\ ##0.0_ ;[Red]\-#\ ##0.0\ </c:formatCode>
                <c:ptCount val="2"/>
                <c:pt idx="0">
                  <c:v>28.86</c:v>
                </c:pt>
                <c:pt idx="1">
                  <c:v>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CC-473F-B784-08CDD548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7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Налог на прибыль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EC004F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48-4196-8F7A-99C78F206ADA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48-4196-8F7A-99C78F206ADA}"/>
              </c:ext>
            </c:extLst>
          </c:dPt>
          <c:dLbls>
            <c:dLbl>
              <c:idx val="0"/>
              <c:layout>
                <c:manualLayout>
                  <c:x val="-0.18611111111111114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8-4196-8F7A-99C78F206ADA}"/>
                </c:ext>
              </c:extLst>
            </c:dLbl>
            <c:dLbl>
              <c:idx val="1"/>
              <c:layout>
                <c:manualLayout>
                  <c:x val="0.21111111111111122"/>
                  <c:y val="-6.018518518518527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8-4196-8F7A-99C78F206A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НалПрибыль!$B$28:$B$29</c:f>
              <c:strCache>
                <c:ptCount val="2"/>
                <c:pt idx="0">
                  <c:v>фед. бюджет</c:v>
                </c:pt>
                <c:pt idx="1">
                  <c:v>рег. бюджет</c:v>
                </c:pt>
              </c:strCache>
            </c:strRef>
          </c:cat>
          <c:val>
            <c:numRef>
              <c:f>НалПрибыль!$A$28:$A$29</c:f>
              <c:numCache>
                <c:formatCode>#\ ##0.0_ ;[Red]\-#\ ##0.0\ </c:formatCode>
                <c:ptCount val="2"/>
                <c:pt idx="0">
                  <c:v>7.3</c:v>
                </c:pt>
                <c:pt idx="1">
                  <c:v>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48-4196-8F7A-99C78F206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7"/>
        <c:holeSize val="75"/>
      </c:doughnutChart>
    </c:plotArea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Налоги и сборы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НалогСвод!$B$16</c:f>
              <c:strCache>
                <c:ptCount val="1"/>
                <c:pt idx="0">
                  <c:v>федеральный бюджет</c:v>
                </c:pt>
              </c:strCache>
            </c:strRef>
          </c:tx>
          <c:spPr>
            <a:solidFill>
              <a:schemeClr val="accent3">
                <a:shade val="47000"/>
              </a:schemeClr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НалогСвод!$F$16:$O$16</c:f>
              <c:numCache>
                <c:formatCode>#\ ##0_ ;[Red]\-#\ ##0\ </c:formatCode>
                <c:ptCount val="10"/>
                <c:pt idx="0">
                  <c:v>-1192.0776000000001</c:v>
                </c:pt>
                <c:pt idx="1">
                  <c:v>-1350.8610624000003</c:v>
                </c:pt>
                <c:pt idx="2">
                  <c:v>4898.5609177993902</c:v>
                </c:pt>
                <c:pt idx="3">
                  <c:v>19433.839731112115</c:v>
                </c:pt>
                <c:pt idx="4">
                  <c:v>20308.355610833125</c:v>
                </c:pt>
                <c:pt idx="5">
                  <c:v>21288.252726769526</c:v>
                </c:pt>
                <c:pt idx="6">
                  <c:v>22303.101701347969</c:v>
                </c:pt>
                <c:pt idx="7">
                  <c:v>23283.961011592139</c:v>
                </c:pt>
                <c:pt idx="8">
                  <c:v>24303.763093267109</c:v>
                </c:pt>
                <c:pt idx="9">
                  <c:v>25364.08117874551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C01-ABD0-BF4EE636AA1E}"/>
            </c:ext>
          </c:extLst>
        </c:ser>
        <c:ser>
          <c:idx val="1"/>
          <c:order val="1"/>
          <c:tx>
            <c:strRef>
              <c:f>НалогСвод!$B$17</c:f>
              <c:strCache>
                <c:ptCount val="1"/>
                <c:pt idx="0">
                  <c:v>региональный обл. бюджет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НалогСвод!$F$17:$O$17</c:f>
              <c:numCache>
                <c:formatCode>#\ ##0_ ;[Red]\-#\ ##0\ </c:formatCode>
                <c:ptCount val="10"/>
                <c:pt idx="0">
                  <c:v>316.8</c:v>
                </c:pt>
                <c:pt idx="1">
                  <c:v>324.40319999999997</c:v>
                </c:pt>
                <c:pt idx="2">
                  <c:v>3211.1591424000003</c:v>
                </c:pt>
                <c:pt idx="3">
                  <c:v>3297.8604392448001</c:v>
                </c:pt>
                <c:pt idx="4">
                  <c:v>3386.9026711044094</c:v>
                </c:pt>
                <c:pt idx="5">
                  <c:v>3478.3490432242279</c:v>
                </c:pt>
                <c:pt idx="6">
                  <c:v>3568.7861183480577</c:v>
                </c:pt>
                <c:pt idx="7">
                  <c:v>3661.5745574251082</c:v>
                </c:pt>
                <c:pt idx="8">
                  <c:v>7348.4370390403237</c:v>
                </c:pt>
                <c:pt idx="9">
                  <c:v>7708.4377456281272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3-4C01-ABD0-BF4EE636AA1E}"/>
            </c:ext>
          </c:extLst>
        </c:ser>
        <c:ser>
          <c:idx val="2"/>
          <c:order val="2"/>
          <c:tx>
            <c:strRef>
              <c:f>НалогСвод!$B$18</c:f>
              <c:strCache>
                <c:ptCount val="1"/>
                <c:pt idx="0">
                  <c:v>местный бюджет</c:v>
                </c:pt>
              </c:strCache>
            </c:strRef>
          </c:tx>
          <c:spPr>
            <a:solidFill>
              <a:schemeClr val="accent3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НалогСвод!$F$18:$O$18</c:f>
              <c:numCache>
                <c:formatCode>#\ ##0_ ;[Red]\-#\ ##0\ </c:formatCode>
                <c:ptCount val="10"/>
                <c:pt idx="0">
                  <c:v>57.6</c:v>
                </c:pt>
                <c:pt idx="1">
                  <c:v>58.982399999999998</c:v>
                </c:pt>
                <c:pt idx="2">
                  <c:v>583.84711680000009</c:v>
                </c:pt>
                <c:pt idx="3">
                  <c:v>599.61098895359999</c:v>
                </c:pt>
                <c:pt idx="4">
                  <c:v>615.80048565534719</c:v>
                </c:pt>
                <c:pt idx="5">
                  <c:v>632.42709876804145</c:v>
                </c:pt>
                <c:pt idx="6">
                  <c:v>648.87020333601049</c:v>
                </c:pt>
                <c:pt idx="7">
                  <c:v>665.7408286227469</c:v>
                </c:pt>
                <c:pt idx="8">
                  <c:v>683.05009016693828</c:v>
                </c:pt>
                <c:pt idx="9">
                  <c:v>700.80939251127859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3-4C01-ABD0-BF4EE636AA1E}"/>
            </c:ext>
          </c:extLst>
        </c:ser>
        <c:ser>
          <c:idx val="3"/>
          <c:order val="3"/>
          <c:tx>
            <c:strRef>
              <c:f>НалогСвод!$B$19</c:f>
              <c:strCache>
                <c:ptCount val="1"/>
                <c:pt idx="0">
                  <c:v>Страховые взносы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НалогСвод!$F$3:$O$3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НалогСвод!$F$19:$O$19</c:f>
              <c:numCache>
                <c:formatCode>#\ ##0_ ;[Red]\-#\ ##0\ </c:formatCode>
                <c:ptCount val="10"/>
                <c:pt idx="0">
                  <c:v>218.88</c:v>
                </c:pt>
                <c:pt idx="1">
                  <c:v>224.13311999999999</c:v>
                </c:pt>
                <c:pt idx="2">
                  <c:v>2218.6190438399999</c:v>
                </c:pt>
                <c:pt idx="3">
                  <c:v>2278.5217580236799</c:v>
                </c:pt>
                <c:pt idx="4">
                  <c:v>2340.0418454903192</c:v>
                </c:pt>
                <c:pt idx="5">
                  <c:v>2403.2229753185575</c:v>
                </c:pt>
                <c:pt idx="6">
                  <c:v>2465.70677267684</c:v>
                </c:pt>
                <c:pt idx="7">
                  <c:v>2529.8151487664381</c:v>
                </c:pt>
                <c:pt idx="8">
                  <c:v>2595.5903426343657</c:v>
                </c:pt>
                <c:pt idx="9">
                  <c:v>2663.0756915428587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3-4C01-ABD0-BF4EE636A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118944"/>
        <c:axId val="660267248"/>
      </c:barChart>
      <c:catAx>
        <c:axId val="63811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660267248"/>
        <c:crosses val="autoZero"/>
        <c:auto val="1"/>
        <c:lblAlgn val="ctr"/>
        <c:lblOffset val="100"/>
        <c:noMultiLvlLbl val="0"/>
      </c:catAx>
      <c:valAx>
        <c:axId val="6602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638118944"/>
        <c:crosses val="autoZero"/>
        <c:crossBetween val="between"/>
        <c:majorUnit val="10000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 sz="1400"/>
            </a:pPr>
            <a:r>
              <a:rPr lang="ru-RU" sz="1400"/>
              <a:t>Использование льгот по налогам и сборам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51093963423004"/>
          <c:y val="0.13053601554869326"/>
          <c:w val="0.40267806540731454"/>
          <c:h val="0.79731417774381641"/>
        </c:manualLayout>
      </c:layout>
      <c:doughnutChart>
        <c:varyColors val="1"/>
        <c:ser>
          <c:idx val="0"/>
          <c:order val="0"/>
          <c:spPr>
            <a:solidFill>
              <a:srgbClr val="A3A3A3"/>
            </a:solidFill>
          </c:spPr>
          <c:dPt>
            <c:idx val="0"/>
            <c:bubble3D val="0"/>
            <c:spPr>
              <a:solidFill>
                <a:srgbClr val="A3A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C1-406E-8C08-5AE99C869B6A}"/>
              </c:ext>
            </c:extLst>
          </c:dPt>
          <c:dPt>
            <c:idx val="1"/>
            <c:bubble3D val="0"/>
            <c:spPr>
              <a:solidFill>
                <a:srgbClr val="EC004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1C1-406E-8C08-5AE99C869B6A}"/>
              </c:ext>
            </c:extLst>
          </c:dPt>
          <c:dPt>
            <c:idx val="2"/>
            <c:bubble3D val="0"/>
            <c:spPr>
              <a:solidFill>
                <a:srgbClr val="1C1C1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1C1-406E-8C08-5AE99C869B6A}"/>
              </c:ext>
            </c:extLst>
          </c:dPt>
          <c:dLbls>
            <c:dLbl>
              <c:idx val="0"/>
              <c:layout>
                <c:manualLayout>
                  <c:x val="0.25277777777777777"/>
                  <c:y val="4.166666666666658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1-406E-8C08-5AE99C869B6A}"/>
                </c:ext>
              </c:extLst>
            </c:dLbl>
            <c:dLbl>
              <c:idx val="1"/>
              <c:layout>
                <c:manualLayout>
                  <c:x val="-0.33079503471569172"/>
                  <c:y val="3.717687684164930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1-406E-8C08-5AE99C869B6A}"/>
                </c:ext>
              </c:extLst>
            </c:dLbl>
            <c:dLbl>
              <c:idx val="2"/>
              <c:layout>
                <c:manualLayout>
                  <c:x val="-0.22222222222222221"/>
                  <c:y val="-4.166666666666664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1-406E-8C08-5AE99C869B6A}"/>
                </c:ext>
              </c:extLst>
            </c:dLbl>
            <c:dLbl>
              <c:idx val="3"/>
              <c:layout>
                <c:manualLayout>
                  <c:x val="0.27235114471688859"/>
                  <c:y val="5.565634327600406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C1-406E-8C08-5AE99C869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НалогСвод!$B$23:$B$26</c:f>
              <c:strCache>
                <c:ptCount val="4"/>
                <c:pt idx="0">
                  <c:v>налога на прибыль в федеральный бюджет</c:v>
                </c:pt>
                <c:pt idx="1">
                  <c:v>налога на прибыль в региональный обл. бюджет</c:v>
                </c:pt>
                <c:pt idx="2">
                  <c:v>льгота по налогу на имущество</c:v>
                </c:pt>
                <c:pt idx="3">
                  <c:v>льгота по соц.взносам</c:v>
                </c:pt>
              </c:strCache>
            </c:strRef>
          </c:cat>
          <c:val>
            <c:numRef>
              <c:f>НалогСвод!$A$23:$A$26</c:f>
              <c:numCache>
                <c:formatCode>#\ ##0_ ;[Red]\-#\ ##0\ </c:formatCode>
                <c:ptCount val="4"/>
                <c:pt idx="0">
                  <c:v>2.0699999999999998</c:v>
                </c:pt>
                <c:pt idx="1">
                  <c:v>45.62</c:v>
                </c:pt>
                <c:pt idx="2">
                  <c:v>7.68</c:v>
                </c:pt>
                <c:pt idx="3">
                  <c:v>59.81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C1-406E-8C08-5AE99C869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3"/>
        <c:holeSize val="75"/>
      </c:doughnut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rgbClr val="A3A3A3"/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Денежные потоки без льгот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КПЭбезЛьгот!$B$32</c:f>
              <c:strCache>
                <c:ptCount val="1"/>
                <c:pt idx="0">
                  <c:v>Ден.поток нарастающим итогом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26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86-46FF-B7D9-984611B82E6B}"/>
                </c:ext>
              </c:extLst>
            </c:dLbl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КПЭбезЛьгот!$F$32:$O$32</c:f>
              <c:numCache>
                <c:formatCode>#\ ##0_ ;[Red]\-#\ ##0\ </c:formatCode>
                <c:ptCount val="10"/>
                <c:pt idx="0">
                  <c:v>-25623.082666666665</c:v>
                </c:pt>
                <c:pt idx="1">
                  <c:v>-94772.377984000006</c:v>
                </c:pt>
                <c:pt idx="2">
                  <c:v>-111500.3788820023</c:v>
                </c:pt>
                <c:pt idx="3">
                  <c:v>-75064.753994869694</c:v>
                </c:pt>
                <c:pt idx="4">
                  <c:v>-35222.170425983539</c:v>
                </c:pt>
                <c:pt idx="5">
                  <c:v>8129.7637015693908</c:v>
                </c:pt>
                <c:pt idx="6">
                  <c:v>55187.643998227635</c:v>
                </c:pt>
                <c:pt idx="7">
                  <c:v>105900.28740012135</c:v>
                </c:pt>
                <c:pt idx="8">
                  <c:v>160554.80764870584</c:v>
                </c:pt>
                <c:pt idx="9">
                  <c:v>218562.53671139383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A86-46FF-B7D9-984611B82E6B}"/>
            </c:ext>
          </c:extLst>
        </c:ser>
        <c:ser>
          <c:idx val="1"/>
          <c:order val="1"/>
          <c:tx>
            <c:strRef>
              <c:f>КПЭбезЛьгот!$B$6</c:f>
              <c:strCache>
                <c:ptCount val="1"/>
                <c:pt idx="0">
                  <c:v>DCF 10 лет при ставке дисконтирования 11,36%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КПЭбезЛьгот!$F$6:$O$6</c:f>
              <c:numCache>
                <c:formatCode>#\ ##0_ ;[Red]\-#\ ##0\ </c:formatCode>
                <c:ptCount val="10"/>
                <c:pt idx="0">
                  <c:v>-25623.082666666665</c:v>
                </c:pt>
                <c:pt idx="1">
                  <c:v>-87720.35812363078</c:v>
                </c:pt>
                <c:pt idx="2">
                  <c:v>-101210.40992189344</c:v>
                </c:pt>
                <c:pt idx="3">
                  <c:v>-74831.758038272252</c:v>
                </c:pt>
                <c:pt idx="4">
                  <c:v>-48928.245808222819</c:v>
                </c:pt>
                <c:pt idx="5">
                  <c:v>-23617.530058541306</c:v>
                </c:pt>
                <c:pt idx="6">
                  <c:v>1054.9664484696186</c:v>
                </c:pt>
                <c:pt idx="7">
                  <c:v>24925.041497787577</c:v>
                </c:pt>
                <c:pt idx="8">
                  <c:v>48026.979244103422</c:v>
                </c:pt>
                <c:pt idx="9">
                  <c:v>70045.74511034225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A86-46FF-B7D9-984611B82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41920"/>
        <c:axId val="920543119"/>
      </c:lineChart>
      <c:catAx>
        <c:axId val="17674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20543119"/>
        <c:crosses val="autoZero"/>
        <c:auto val="1"/>
        <c:lblAlgn val="ctr"/>
        <c:lblOffset val="100"/>
        <c:noMultiLvlLbl val="0"/>
      </c:catAx>
      <c:valAx>
        <c:axId val="92054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6741920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 без льгот млн.руб.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БДРбезЛьгот!$B$5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БДРбезЛьгот!$F$5:$O$5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38530</c:v>
                </c:pt>
                <c:pt idx="3">
                  <c:v>112840</c:v>
                </c:pt>
                <c:pt idx="4">
                  <c:v>117353.60000000002</c:v>
                </c:pt>
                <c:pt idx="5">
                  <c:v>122047.74400000002</c:v>
                </c:pt>
                <c:pt idx="6">
                  <c:v>126929.65376</c:v>
                </c:pt>
                <c:pt idx="7">
                  <c:v>132006.83991040001</c:v>
                </c:pt>
                <c:pt idx="8">
                  <c:v>137287.11350681601</c:v>
                </c:pt>
                <c:pt idx="9">
                  <c:v>142778.59804708866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9C-4FFB-B507-578A8AE6C5FE}"/>
            </c:ext>
          </c:extLst>
        </c:ser>
        <c:ser>
          <c:idx val="1"/>
          <c:order val="1"/>
          <c:tx>
            <c:strRef>
              <c:f>БДРбезЛьгот!$B$12</c:f>
              <c:strCache>
                <c:ptCount val="1"/>
                <c:pt idx="0">
                  <c:v>Валовая прибыль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БДРбезЛьгот!$F$12:$O$12</c:f>
              <c:numCache>
                <c:formatCode>#\ ##0_ ;[Red]\-#\ ##0\ </c:formatCode>
                <c:ptCount val="10"/>
                <c:pt idx="0">
                  <c:v>-4985</c:v>
                </c:pt>
                <c:pt idx="1">
                  <c:v>-5181.8</c:v>
                </c:pt>
                <c:pt idx="2">
                  <c:v>-5118.1090848952372</c:v>
                </c:pt>
                <c:pt idx="3">
                  <c:v>60190.063612491169</c:v>
                </c:pt>
                <c:pt idx="4">
                  <c:v>63311.014723232016</c:v>
                </c:pt>
                <c:pt idx="5">
                  <c:v>66568.80050459523</c:v>
                </c:pt>
                <c:pt idx="6">
                  <c:v>70068.617598522309</c:v>
                </c:pt>
                <c:pt idx="7">
                  <c:v>74554.773189891595</c:v>
                </c:pt>
                <c:pt idx="8">
                  <c:v>78367.029869202132</c:v>
                </c:pt>
                <c:pt idx="9">
                  <c:v>85916.84356487554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C-4FFB-B507-578A8AE6C5FE}"/>
            </c:ext>
          </c:extLst>
        </c:ser>
        <c:ser>
          <c:idx val="2"/>
          <c:order val="2"/>
          <c:tx>
            <c:strRef>
              <c:f>БДРбезЛьгот!$B$17</c:f>
              <c:strCache>
                <c:ptCount val="1"/>
                <c:pt idx="0">
                  <c:v>Прибыль/убыток от продаж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БДРбезЛьгот!$F$17:$O$17</c:f>
              <c:numCache>
                <c:formatCode>#\ ##0_ ;[Red]\-#\ ##0\ </c:formatCode>
                <c:ptCount val="10"/>
                <c:pt idx="0">
                  <c:v>-8890.52</c:v>
                </c:pt>
                <c:pt idx="1">
                  <c:v>-9177.4524799999999</c:v>
                </c:pt>
                <c:pt idx="2">
                  <c:v>-17081.953503455239</c:v>
                </c:pt>
                <c:pt idx="3">
                  <c:v>47907.245394630052</c:v>
                </c:pt>
                <c:pt idx="4">
                  <c:v>50700.610413488648</c:v>
                </c:pt>
                <c:pt idx="5">
                  <c:v>53621.965278488788</c:v>
                </c:pt>
                <c:pt idx="6">
                  <c:v>56789.064656537099</c:v>
                </c:pt>
                <c:pt idx="7">
                  <c:v>60933.851871414772</c:v>
                </c:pt>
                <c:pt idx="8">
                  <c:v>64395.86459644491</c:v>
                </c:pt>
                <c:pt idx="9">
                  <c:v>71586.32799502663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9C-4FFB-B507-578A8AE6C5FE}"/>
            </c:ext>
          </c:extLst>
        </c:ser>
        <c:ser>
          <c:idx val="3"/>
          <c:order val="3"/>
          <c:tx>
            <c:strRef>
              <c:f>БДРбезЛьгот!$B$28</c:f>
              <c:strCache>
                <c:ptCount val="1"/>
                <c:pt idx="0">
                  <c:v>Чистая прибыль/убыток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БДРбезЛьгот!$F$28:$O$28</c:f>
              <c:numCache>
                <c:formatCode>#\ ##0_ ;[Red]\-#\ ##0\ </c:formatCode>
                <c:ptCount val="10"/>
                <c:pt idx="0">
                  <c:v>-7289.7493333333332</c:v>
                </c:pt>
                <c:pt idx="1">
                  <c:v>-12482.628650666666</c:v>
                </c:pt>
                <c:pt idx="2">
                  <c:v>-22966.096136097523</c:v>
                </c:pt>
                <c:pt idx="3">
                  <c:v>30197.529649037373</c:v>
                </c:pt>
                <c:pt idx="4">
                  <c:v>33604.488330790919</c:v>
                </c:pt>
                <c:pt idx="5">
                  <c:v>37113.8388894577</c:v>
                </c:pt>
                <c:pt idx="6">
                  <c:v>40819.785058563008</c:v>
                </c:pt>
                <c:pt idx="7">
                  <c:v>45307.881497131821</c:v>
                </c:pt>
                <c:pt idx="8">
                  <c:v>49249.758343822599</c:v>
                </c:pt>
                <c:pt idx="9">
                  <c:v>56174.395729354641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9C-4FFB-B507-578A8AE6C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расходов. Рентабельность. Без льгот.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БДРбезЛьгот!$B$13</c:f>
              <c:strCache>
                <c:ptCount val="1"/>
                <c:pt idx="0">
                  <c:v>рент-ть по валовой прибыли</c:v>
                </c:pt>
              </c:strCache>
            </c:strRef>
          </c:tx>
          <c:spPr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БДРбезЛьгот!$F$13:$O$13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-0.13283439099131164</c:v>
                </c:pt>
                <c:pt idx="3">
                  <c:v>0.5334107019894645</c:v>
                </c:pt>
                <c:pt idx="4">
                  <c:v>0.53948932732555288</c:v>
                </c:pt>
                <c:pt idx="5">
                  <c:v>0.54543245391406181</c:v>
                </c:pt>
                <c:pt idx="6">
                  <c:v>0.55202717034908821</c:v>
                </c:pt>
                <c:pt idx="7">
                  <c:v>0.5647796223324173</c:v>
                </c:pt>
                <c:pt idx="8">
                  <c:v>0.57082582528994152</c:v>
                </c:pt>
                <c:pt idx="9">
                  <c:v>0.60174875464556665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DB-48C7-A8CC-74578B3A7626}"/>
            </c:ext>
          </c:extLst>
        </c:ser>
        <c:ser>
          <c:idx val="1"/>
          <c:order val="1"/>
          <c:tx>
            <c:strRef>
              <c:f>БДРбезЛьгот!$B$18</c:f>
              <c:strCache>
                <c:ptCount val="1"/>
                <c:pt idx="0">
                  <c:v>рент-ть по прибыли от продаж</c:v>
                </c:pt>
              </c:strCache>
            </c:strRef>
          </c:tx>
          <c:spPr>
            <a:effectLst/>
          </c:spPr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БДРбезЛьгот!$F$18:$O$18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-0.44334164296535788</c:v>
                </c:pt>
                <c:pt idx="3">
                  <c:v>0.42455906943131916</c:v>
                </c:pt>
                <c:pt idx="4">
                  <c:v>0.43203285125883345</c:v>
                </c:pt>
                <c:pt idx="5">
                  <c:v>0.43935236753322354</c:v>
                </c:pt>
                <c:pt idx="6">
                  <c:v>0.44740581081166814</c:v>
                </c:pt>
                <c:pt idx="7">
                  <c:v>0.46159617117396179</c:v>
                </c:pt>
                <c:pt idx="8">
                  <c:v>0.469059789746747</c:v>
                </c:pt>
                <c:pt idx="9">
                  <c:v>0.50137996152208553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1DB-48C7-A8CC-74578B3A7626}"/>
            </c:ext>
          </c:extLst>
        </c:ser>
        <c:ser>
          <c:idx val="2"/>
          <c:order val="2"/>
          <c:tx>
            <c:strRef>
              <c:f>БДРбезЛьгот!$B$29</c:f>
              <c:strCache>
                <c:ptCount val="1"/>
                <c:pt idx="0">
                  <c:v>рент-ть по чистой прибыли</c:v>
                </c:pt>
              </c:strCache>
            </c:strRef>
          </c:tx>
          <c:spPr>
            <a:ln>
              <a:solidFill>
                <a:srgbClr val="EC004F"/>
              </a:solidFill>
            </a:ln>
            <a:effectLst/>
          </c:spPr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БДРбезЛьгот!$F$29:$O$29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-0.59605751715799438</c:v>
                </c:pt>
                <c:pt idx="3">
                  <c:v>0.26761369770504584</c:v>
                </c:pt>
                <c:pt idx="4">
                  <c:v>0.28635242830889646</c:v>
                </c:pt>
                <c:pt idx="5">
                  <c:v>0.30409278920762101</c:v>
                </c:pt>
                <c:pt idx="6">
                  <c:v>0.32159376354831559</c:v>
                </c:pt>
                <c:pt idx="7">
                  <c:v>0.34322374149615781</c:v>
                </c:pt>
                <c:pt idx="8">
                  <c:v>0.35873547841311015</c:v>
                </c:pt>
                <c:pt idx="9">
                  <c:v>0.39343708719445625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C1DB-48C7-A8CC-74578B3A7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97199"/>
        <c:axId val="562602783"/>
      </c:line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АКТИВЫ (без льгот)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БалансбезЛьгот!$A$5:$B$5</c:f>
              <c:strCache>
                <c:ptCount val="2"/>
                <c:pt idx="0">
                  <c:v>I</c:v>
                </c:pt>
                <c:pt idx="1">
                  <c:v>Внеоборотные активы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БалансбезЛьгот!$F$5:$O$5</c:f>
              <c:numCache>
                <c:formatCode>#\ ##0_ ;[Red]\-#\ ##0\ </c:formatCode>
                <c:ptCount val="10"/>
                <c:pt idx="0">
                  <c:v>18333.333333333332</c:v>
                </c:pt>
                <c:pt idx="1">
                  <c:v>75000</c:v>
                </c:pt>
                <c:pt idx="2">
                  <c:v>68761.904761904749</c:v>
                </c:pt>
                <c:pt idx="3">
                  <c:v>62523.809523809512</c:v>
                </c:pt>
                <c:pt idx="4">
                  <c:v>56285.714285714268</c:v>
                </c:pt>
                <c:pt idx="5">
                  <c:v>50047.619047619031</c:v>
                </c:pt>
                <c:pt idx="6">
                  <c:v>43809.523809523787</c:v>
                </c:pt>
                <c:pt idx="7">
                  <c:v>38404.761904761879</c:v>
                </c:pt>
                <c:pt idx="8">
                  <c:v>32999.999999999971</c:v>
                </c:pt>
                <c:pt idx="9">
                  <c:v>31166.666666666642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C5-409C-BD0E-268F559D17EE}"/>
            </c:ext>
          </c:extLst>
        </c:ser>
        <c:ser>
          <c:idx val="1"/>
          <c:order val="1"/>
          <c:tx>
            <c:strRef>
              <c:f>БалансбезЛьгот!$A$12:$B$12</c:f>
              <c:strCache>
                <c:ptCount val="2"/>
                <c:pt idx="0">
                  <c:v>II</c:v>
                </c:pt>
                <c:pt idx="1">
                  <c:v>Оборотные активы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БалансбезЛьгот!$F$12:$O$12</c:f>
              <c:numCache>
                <c:formatCode>#\ ##0_ ;[Red]\-#\ ##0\ </c:formatCode>
                <c:ptCount val="10"/>
                <c:pt idx="0">
                  <c:v>4376.917333333331</c:v>
                </c:pt>
                <c:pt idx="1">
                  <c:v>30227.622015999994</c:v>
                </c:pt>
                <c:pt idx="2">
                  <c:v>1624.6211179976963</c:v>
                </c:pt>
                <c:pt idx="3">
                  <c:v>26185.246005130291</c:v>
                </c:pt>
                <c:pt idx="4">
                  <c:v>54152.829574016447</c:v>
                </c:pt>
                <c:pt idx="5">
                  <c:v>85629.763701569376</c:v>
                </c:pt>
                <c:pt idx="6">
                  <c:v>120812.64399822762</c:v>
                </c:pt>
                <c:pt idx="7">
                  <c:v>159650.28740012133</c:v>
                </c:pt>
                <c:pt idx="8">
                  <c:v>202429.80764870584</c:v>
                </c:pt>
                <c:pt idx="9">
                  <c:v>248562.53671139383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C5-409C-BD0E-268F559D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1446351"/>
        <c:axId val="9948655"/>
      </c:barChart>
      <c:lineChart>
        <c:grouping val="standard"/>
        <c:varyColors val="0"/>
        <c:ser>
          <c:idx val="2"/>
          <c:order val="2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БалансбезЛьгот!$F$21:$O$21</c:f>
              <c:numCache>
                <c:formatCode>#\ ##0_ ;[Red]\-#\ ##0\ </c:formatCode>
                <c:ptCount val="10"/>
                <c:pt idx="0">
                  <c:v>22710.250666666663</c:v>
                </c:pt>
                <c:pt idx="1">
                  <c:v>105227.62201599999</c:v>
                </c:pt>
                <c:pt idx="2">
                  <c:v>70386.525879902445</c:v>
                </c:pt>
                <c:pt idx="3">
                  <c:v>88709.055528939803</c:v>
                </c:pt>
                <c:pt idx="4">
                  <c:v>110438.54385973071</c:v>
                </c:pt>
                <c:pt idx="5">
                  <c:v>135677.3827491884</c:v>
                </c:pt>
                <c:pt idx="6">
                  <c:v>164622.16780775139</c:v>
                </c:pt>
                <c:pt idx="7">
                  <c:v>198055.04930488323</c:v>
                </c:pt>
                <c:pt idx="8">
                  <c:v>235429.80764870581</c:v>
                </c:pt>
                <c:pt idx="9">
                  <c:v>279729.20337806048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C5-409C-BD0E-268F559D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446351"/>
        <c:axId val="9948655"/>
      </c:lineChart>
      <c:catAx>
        <c:axId val="1751446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948655"/>
        <c:crosses val="autoZero"/>
        <c:auto val="1"/>
        <c:lblAlgn val="ctr"/>
        <c:lblOffset val="100"/>
        <c:noMultiLvlLbl val="0"/>
      </c:catAx>
      <c:valAx>
        <c:axId val="994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51446351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16259986399565032"/>
          <c:y val="0.88946704578594338"/>
          <c:w val="0.74596780422643361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КАПИТАЛ И ОБЯЗАТЕЛЬСТВА (без льгот)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БалансбезЛьгот!$A$23:$B$23</c:f>
              <c:strCache>
                <c:ptCount val="2"/>
                <c:pt idx="0">
                  <c:v>III</c:v>
                </c:pt>
                <c:pt idx="1">
                  <c:v>Капитал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БалансбезЛьгот!$F$23:$O$23</c:f>
              <c:numCache>
                <c:formatCode>#\ ##0_ ;[Red]\-#\ ##0\ </c:formatCode>
                <c:ptCount val="10"/>
                <c:pt idx="0">
                  <c:v>22710.250666666667</c:v>
                </c:pt>
                <c:pt idx="1">
                  <c:v>10227.622016000001</c:v>
                </c:pt>
                <c:pt idx="2">
                  <c:v>-12738.474120097526</c:v>
                </c:pt>
                <c:pt idx="3">
                  <c:v>17459.055528939847</c:v>
                </c:pt>
                <c:pt idx="4">
                  <c:v>51063.543859730766</c:v>
                </c:pt>
                <c:pt idx="5">
                  <c:v>88177.382749188459</c:v>
                </c:pt>
                <c:pt idx="6">
                  <c:v>128997.16780775148</c:v>
                </c:pt>
                <c:pt idx="7">
                  <c:v>174305.04930488329</c:v>
                </c:pt>
                <c:pt idx="8">
                  <c:v>223554.8076487059</c:v>
                </c:pt>
                <c:pt idx="9">
                  <c:v>279729.20337806054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B5-48EB-A65E-1AA4ADC688EA}"/>
            </c:ext>
          </c:extLst>
        </c:ser>
        <c:ser>
          <c:idx val="1"/>
          <c:order val="1"/>
          <c:tx>
            <c:strRef>
              <c:f>БалансбезЛьгот!$A$26:$B$26</c:f>
              <c:strCache>
                <c:ptCount val="2"/>
                <c:pt idx="0">
                  <c:v>IV</c:v>
                </c:pt>
                <c:pt idx="1">
                  <c:v>Долгосрочные обязательства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95000</c:v>
                </c:pt>
                <c:pt idx="2">
                  <c:v>83125</c:v>
                </c:pt>
                <c:pt idx="3">
                  <c:v>71250</c:v>
                </c:pt>
                <c:pt idx="4">
                  <c:v>59375</c:v>
                </c:pt>
                <c:pt idx="5">
                  <c:v>47500</c:v>
                </c:pt>
                <c:pt idx="6">
                  <c:v>35625</c:v>
                </c:pt>
                <c:pt idx="7">
                  <c:v>23750</c:v>
                </c:pt>
                <c:pt idx="8">
                  <c:v>11875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B5-48EB-A65E-1AA4ADC688EA}"/>
            </c:ext>
          </c:extLst>
        </c:ser>
        <c:ser>
          <c:idx val="2"/>
          <c:order val="2"/>
          <c:tx>
            <c:strRef>
              <c:f>БалансбезЛьгот!$A$31:$B$31</c:f>
              <c:strCache>
                <c:ptCount val="2"/>
                <c:pt idx="0">
                  <c:v>V</c:v>
                </c:pt>
                <c:pt idx="1">
                  <c:v>Краткосрочные обязательства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БалансбезЛьгот!$F$31:$O$31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B5-48EB-A65E-1AA4ADC6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1441071"/>
        <c:axId val="1725108207"/>
      </c:barChart>
      <c:lineChart>
        <c:grouping val="standard"/>
        <c:varyColors val="0"/>
        <c:ser>
          <c:idx val="3"/>
          <c:order val="3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БалансбезЛьгот!$F$40:$O$40</c:f>
              <c:numCache>
                <c:formatCode>#\ ##0_ ;[Red]\-#\ ##0\ </c:formatCode>
                <c:ptCount val="10"/>
                <c:pt idx="0">
                  <c:v>22710.250666666667</c:v>
                </c:pt>
                <c:pt idx="1">
                  <c:v>105227.62201600001</c:v>
                </c:pt>
                <c:pt idx="2">
                  <c:v>70386.525879902474</c:v>
                </c:pt>
                <c:pt idx="3">
                  <c:v>88709.055528939847</c:v>
                </c:pt>
                <c:pt idx="4">
                  <c:v>110438.54385973077</c:v>
                </c:pt>
                <c:pt idx="5">
                  <c:v>135677.38274918846</c:v>
                </c:pt>
                <c:pt idx="6">
                  <c:v>164622.16780775148</c:v>
                </c:pt>
                <c:pt idx="7">
                  <c:v>198055.04930488329</c:v>
                </c:pt>
                <c:pt idx="8">
                  <c:v>235429.8076487059</c:v>
                </c:pt>
                <c:pt idx="9">
                  <c:v>279729.20337806054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B5-48EB-A65E-1AA4ADC6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441071"/>
        <c:axId val="1725108207"/>
      </c:lineChart>
      <c:catAx>
        <c:axId val="175144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25108207"/>
        <c:crosses val="autoZero"/>
        <c:auto val="1"/>
        <c:lblAlgn val="ctr"/>
        <c:lblOffset val="100"/>
        <c:noMultiLvlLbl val="0"/>
      </c:catAx>
      <c:valAx>
        <c:axId val="172510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51441071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Денежные потоки без льгот (млн.руб.)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КПЭбезЛьгот!$B$32</c:f>
              <c:strCache>
                <c:ptCount val="1"/>
                <c:pt idx="0">
                  <c:v>Ден.поток нарастающим итогом</c:v>
                </c:pt>
              </c:strCache>
            </c:strRef>
          </c:tx>
          <c:spPr>
            <a:ln w="28575" cap="rnd">
              <a:solidFill>
                <a:srgbClr val="1C1C1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1C1C1C"/>
              </a:solidFill>
              <a:ln w="9525"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2.6251711543050126E-2"/>
                  <c:y val="-4.7919139566702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3-4513-9C01-8BCB19633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КПЭбезЛьгот!$F$32:$O$32</c:f>
              <c:numCache>
                <c:formatCode>#\ ##0_ ;[Red]\-#\ ##0\ </c:formatCode>
                <c:ptCount val="10"/>
                <c:pt idx="0">
                  <c:v>-25623.082666666665</c:v>
                </c:pt>
                <c:pt idx="1">
                  <c:v>-94772.377984000006</c:v>
                </c:pt>
                <c:pt idx="2">
                  <c:v>-111500.3788820023</c:v>
                </c:pt>
                <c:pt idx="3">
                  <c:v>-75064.753994869694</c:v>
                </c:pt>
                <c:pt idx="4">
                  <c:v>-35222.170425983539</c:v>
                </c:pt>
                <c:pt idx="5">
                  <c:v>8129.7637015693908</c:v>
                </c:pt>
                <c:pt idx="6">
                  <c:v>55187.643998227635</c:v>
                </c:pt>
                <c:pt idx="7">
                  <c:v>105900.28740012135</c:v>
                </c:pt>
                <c:pt idx="8">
                  <c:v>160554.80764870584</c:v>
                </c:pt>
                <c:pt idx="9">
                  <c:v>218562.53671139383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573-4513-9C01-8BCB196332E2}"/>
            </c:ext>
          </c:extLst>
        </c:ser>
        <c:ser>
          <c:idx val="1"/>
          <c:order val="1"/>
          <c:tx>
            <c:strRef>
              <c:f>КПЭбезЛьгот!$B$6</c:f>
              <c:strCache>
                <c:ptCount val="1"/>
                <c:pt idx="0">
                  <c:v>DCF 10 лет при ставке дисконтирования 11,36%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C004F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КПЭбезЛьгот!$F$3:$O$3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КПЭбезЛьгот!$F$6:$O$6</c:f>
              <c:numCache>
                <c:formatCode>#\ ##0_ ;[Red]\-#\ ##0\ </c:formatCode>
                <c:ptCount val="10"/>
                <c:pt idx="0">
                  <c:v>-25623.082666666665</c:v>
                </c:pt>
                <c:pt idx="1">
                  <c:v>-87720.35812363078</c:v>
                </c:pt>
                <c:pt idx="2">
                  <c:v>-101210.40992189344</c:v>
                </c:pt>
                <c:pt idx="3">
                  <c:v>-74831.758038272252</c:v>
                </c:pt>
                <c:pt idx="4">
                  <c:v>-48928.245808222819</c:v>
                </c:pt>
                <c:pt idx="5">
                  <c:v>-23617.530058541306</c:v>
                </c:pt>
                <c:pt idx="6">
                  <c:v>1054.9664484696186</c:v>
                </c:pt>
                <c:pt idx="7">
                  <c:v>24925.041497787577</c:v>
                </c:pt>
                <c:pt idx="8">
                  <c:v>48026.979244103422</c:v>
                </c:pt>
                <c:pt idx="9">
                  <c:v>70045.74511034225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573-4513-9C01-8BCB19633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41920"/>
        <c:axId val="920543119"/>
      </c:lineChart>
      <c:catAx>
        <c:axId val="17674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20543119"/>
        <c:crosses val="autoZero"/>
        <c:auto val="1"/>
        <c:lblAlgn val="ctr"/>
        <c:lblOffset val="100"/>
        <c:noMultiLvlLbl val="0"/>
      </c:catAx>
      <c:valAx>
        <c:axId val="92054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6741920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АКТИВЫ</a:t>
            </a:r>
          </a:p>
        </c:rich>
      </c:tx>
      <c:layout>
        <c:manualLayout>
          <c:xMode val="edge"/>
          <c:yMode val="edge"/>
          <c:x val="0.37887899519901069"/>
          <c:y val="2.413400721055724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БалансбезЛьгот!$A$5:$B$5</c:f>
              <c:strCache>
                <c:ptCount val="2"/>
                <c:pt idx="0">
                  <c:v>I</c:v>
                </c:pt>
                <c:pt idx="1">
                  <c:v>Внеоборотные активы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БалансбезЛьгот!$F$5:$O$5</c:f>
              <c:numCache>
                <c:formatCode>#\ ##0_ ;[Red]\-#\ ##0\ </c:formatCode>
                <c:ptCount val="10"/>
                <c:pt idx="0">
                  <c:v>18333.333333333332</c:v>
                </c:pt>
                <c:pt idx="1">
                  <c:v>75000</c:v>
                </c:pt>
                <c:pt idx="2">
                  <c:v>68761.904761904749</c:v>
                </c:pt>
                <c:pt idx="3">
                  <c:v>62523.809523809512</c:v>
                </c:pt>
                <c:pt idx="4">
                  <c:v>56285.714285714268</c:v>
                </c:pt>
                <c:pt idx="5">
                  <c:v>50047.619047619031</c:v>
                </c:pt>
                <c:pt idx="6">
                  <c:v>43809.523809523787</c:v>
                </c:pt>
                <c:pt idx="7">
                  <c:v>38404.761904761879</c:v>
                </c:pt>
                <c:pt idx="8">
                  <c:v>32999.999999999971</c:v>
                </c:pt>
                <c:pt idx="9">
                  <c:v>31166.666666666642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A-4FE8-83E4-2FD14341F782}"/>
            </c:ext>
          </c:extLst>
        </c:ser>
        <c:ser>
          <c:idx val="1"/>
          <c:order val="1"/>
          <c:tx>
            <c:strRef>
              <c:f>БалансбезЛьгот!$A$12:$B$12</c:f>
              <c:strCache>
                <c:ptCount val="2"/>
                <c:pt idx="0">
                  <c:v>II</c:v>
                </c:pt>
                <c:pt idx="1">
                  <c:v>Оборотные активы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БалансбезЛьгот!$F$12:$O$12</c:f>
              <c:numCache>
                <c:formatCode>#\ ##0_ ;[Red]\-#\ ##0\ </c:formatCode>
                <c:ptCount val="10"/>
                <c:pt idx="0">
                  <c:v>4376.917333333331</c:v>
                </c:pt>
                <c:pt idx="1">
                  <c:v>30227.622015999994</c:v>
                </c:pt>
                <c:pt idx="2">
                  <c:v>1624.6211179976963</c:v>
                </c:pt>
                <c:pt idx="3">
                  <c:v>26185.246005130291</c:v>
                </c:pt>
                <c:pt idx="4">
                  <c:v>54152.829574016447</c:v>
                </c:pt>
                <c:pt idx="5">
                  <c:v>85629.763701569376</c:v>
                </c:pt>
                <c:pt idx="6">
                  <c:v>120812.64399822762</c:v>
                </c:pt>
                <c:pt idx="7">
                  <c:v>159650.28740012133</c:v>
                </c:pt>
                <c:pt idx="8">
                  <c:v>202429.80764870584</c:v>
                </c:pt>
                <c:pt idx="9">
                  <c:v>248562.53671139383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6A-4FE8-83E4-2FD14341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1446351"/>
        <c:axId val="9948655"/>
      </c:barChart>
      <c:lineChart>
        <c:grouping val="standard"/>
        <c:varyColors val="0"/>
        <c:ser>
          <c:idx val="2"/>
          <c:order val="2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_ ;[Red]\-#,##0\ 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БалансбезЛьгот!$F$21:$O$21</c:f>
              <c:numCache>
                <c:formatCode>#\ ##0_ ;[Red]\-#\ ##0\ </c:formatCode>
                <c:ptCount val="10"/>
                <c:pt idx="0">
                  <c:v>22710.250666666663</c:v>
                </c:pt>
                <c:pt idx="1">
                  <c:v>105227.62201599999</c:v>
                </c:pt>
                <c:pt idx="2">
                  <c:v>70386.525879902445</c:v>
                </c:pt>
                <c:pt idx="3">
                  <c:v>88709.055528939803</c:v>
                </c:pt>
                <c:pt idx="4">
                  <c:v>110438.54385973071</c:v>
                </c:pt>
                <c:pt idx="5">
                  <c:v>135677.3827491884</c:v>
                </c:pt>
                <c:pt idx="6">
                  <c:v>164622.16780775139</c:v>
                </c:pt>
                <c:pt idx="7">
                  <c:v>198055.04930488323</c:v>
                </c:pt>
                <c:pt idx="8">
                  <c:v>235429.80764870581</c:v>
                </c:pt>
                <c:pt idx="9">
                  <c:v>279729.20337806048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6A-4FE8-83E4-2FD14341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446351"/>
        <c:axId val="9948655"/>
      </c:lineChart>
      <c:catAx>
        <c:axId val="1751446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9948655"/>
        <c:crosses val="autoZero"/>
        <c:auto val="1"/>
        <c:lblAlgn val="ctr"/>
        <c:lblOffset val="100"/>
        <c:noMultiLvlLbl val="0"/>
      </c:catAx>
      <c:valAx>
        <c:axId val="994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51446351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layout>
        <c:manualLayout>
          <c:xMode val="edge"/>
          <c:yMode val="edge"/>
          <c:x val="0.2876238853424079"/>
          <c:y val="0.88946704578594338"/>
          <c:w val="0.42475222931518419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КАПИТАЛ И ОБЯЗАТЕЛЬСТВА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БалансбезЛьгот!$A$23:$B$23</c:f>
              <c:strCache>
                <c:ptCount val="2"/>
                <c:pt idx="0">
                  <c:v>III</c:v>
                </c:pt>
                <c:pt idx="1">
                  <c:v>Капитал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БалансбезЛьгот!$F$23:$O$23</c:f>
              <c:numCache>
                <c:formatCode>#\ ##0_ ;[Red]\-#\ ##0\ </c:formatCode>
                <c:ptCount val="10"/>
                <c:pt idx="0">
                  <c:v>22710.250666666667</c:v>
                </c:pt>
                <c:pt idx="1">
                  <c:v>10227.622016000001</c:v>
                </c:pt>
                <c:pt idx="2">
                  <c:v>-12738.474120097526</c:v>
                </c:pt>
                <c:pt idx="3">
                  <c:v>17459.055528939847</c:v>
                </c:pt>
                <c:pt idx="4">
                  <c:v>51063.543859730766</c:v>
                </c:pt>
                <c:pt idx="5">
                  <c:v>88177.382749188459</c:v>
                </c:pt>
                <c:pt idx="6">
                  <c:v>128997.16780775148</c:v>
                </c:pt>
                <c:pt idx="7">
                  <c:v>174305.04930488329</c:v>
                </c:pt>
                <c:pt idx="8">
                  <c:v>223554.8076487059</c:v>
                </c:pt>
                <c:pt idx="9">
                  <c:v>279729.20337806054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7-4862-9080-794CA87ABA32}"/>
            </c:ext>
          </c:extLst>
        </c:ser>
        <c:ser>
          <c:idx val="1"/>
          <c:order val="1"/>
          <c:tx>
            <c:strRef>
              <c:f>БалансбезЛьгот!$A$26:$B$26</c:f>
              <c:strCache>
                <c:ptCount val="2"/>
                <c:pt idx="0">
                  <c:v>IV</c:v>
                </c:pt>
                <c:pt idx="1">
                  <c:v>Долгосрочные обязательства</c:v>
                </c:pt>
              </c:strCache>
            </c:strRef>
          </c:tx>
          <c:spPr>
            <a:solidFill>
              <a:srgbClr val="A3A3A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95000</c:v>
                </c:pt>
                <c:pt idx="2">
                  <c:v>83125</c:v>
                </c:pt>
                <c:pt idx="3">
                  <c:v>71250</c:v>
                </c:pt>
                <c:pt idx="4">
                  <c:v>59375</c:v>
                </c:pt>
                <c:pt idx="5">
                  <c:v>47500</c:v>
                </c:pt>
                <c:pt idx="6">
                  <c:v>35625</c:v>
                </c:pt>
                <c:pt idx="7">
                  <c:v>23750</c:v>
                </c:pt>
                <c:pt idx="8">
                  <c:v>11875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47-4862-9080-794CA87ABA32}"/>
            </c:ext>
          </c:extLst>
        </c:ser>
        <c:ser>
          <c:idx val="2"/>
          <c:order val="2"/>
          <c:tx>
            <c:strRef>
              <c:f>БалансбезЛьгот!$A$31:$B$31</c:f>
              <c:strCache>
                <c:ptCount val="2"/>
                <c:pt idx="0">
                  <c:v>V</c:v>
                </c:pt>
                <c:pt idx="1">
                  <c:v>Краткосрочные обязательства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БалансбезЛьгот!$F$31:$O$31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47-4862-9080-794CA87A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51441071"/>
        <c:axId val="1725108207"/>
      </c:barChart>
      <c:lineChart>
        <c:grouping val="standard"/>
        <c:varyColors val="0"/>
        <c:ser>
          <c:idx val="3"/>
          <c:order val="3"/>
          <c:tx>
            <c:v>`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БалансбезЛьгот!$F$3:$O$3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БалансбезЛьгот!$F$40:$O$40</c:f>
              <c:numCache>
                <c:formatCode>#\ ##0_ ;[Red]\-#\ ##0\ </c:formatCode>
                <c:ptCount val="10"/>
                <c:pt idx="0">
                  <c:v>22710.250666666667</c:v>
                </c:pt>
                <c:pt idx="1">
                  <c:v>105227.62201600001</c:v>
                </c:pt>
                <c:pt idx="2">
                  <c:v>70386.525879902474</c:v>
                </c:pt>
                <c:pt idx="3">
                  <c:v>88709.055528939847</c:v>
                </c:pt>
                <c:pt idx="4">
                  <c:v>110438.54385973077</c:v>
                </c:pt>
                <c:pt idx="5">
                  <c:v>135677.38274918846</c:v>
                </c:pt>
                <c:pt idx="6">
                  <c:v>164622.16780775148</c:v>
                </c:pt>
                <c:pt idx="7">
                  <c:v>198055.04930488329</c:v>
                </c:pt>
                <c:pt idx="8">
                  <c:v>235429.8076487059</c:v>
                </c:pt>
                <c:pt idx="9">
                  <c:v>279729.20337806054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47-4862-9080-794CA87AB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441071"/>
        <c:axId val="1725108207"/>
      </c:lineChart>
      <c:catAx>
        <c:axId val="1751441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25108207"/>
        <c:crosses val="autoZero"/>
        <c:auto val="1"/>
        <c:lblAlgn val="ctr"/>
        <c:lblOffset val="100"/>
        <c:noMultiLvlLbl val="0"/>
      </c:catAx>
      <c:valAx>
        <c:axId val="172510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1751441071"/>
        <c:crosses val="autoZero"/>
        <c:crossBetween val="between"/>
        <c:minorUnit val="20000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Налоги без учета льгот млн.руб.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1324464967994886"/>
          <c:y val="0.19930312530378147"/>
          <c:w val="0.4277655428690102"/>
          <c:h val="0.70204961358996787"/>
        </c:manualLayout>
      </c:layout>
      <c:doughnutChart>
        <c:varyColors val="1"/>
        <c:ser>
          <c:idx val="0"/>
          <c:order val="0"/>
          <c:val>
            <c:numRef>
              <c:f>КПЭбезЛьгот!#REF!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КПЭбезЛьгот!#REF!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38C3-4B3D-A2EB-9001FC1D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7"/>
        <c:holeSize val="75"/>
      </c:doughnutChart>
    </c:plotArea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 b="1"/>
              <a:t>Платежи по выплате Кредитов и процентов млн.руб.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Финансы!$B$23</c:f>
              <c:strCache>
                <c:ptCount val="1"/>
                <c:pt idx="0">
                  <c:v>Погашение кредита/займа</c:v>
                </c:pt>
              </c:strCache>
            </c:strRef>
          </c:tx>
          <c:spPr>
            <a:solidFill>
              <a:srgbClr val="1C1C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Финансы!$F$23:$O$23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11875</c:v>
                </c:pt>
                <c:pt idx="3">
                  <c:v>11875</c:v>
                </c:pt>
                <c:pt idx="4">
                  <c:v>11875</c:v>
                </c:pt>
                <c:pt idx="5">
                  <c:v>11875</c:v>
                </c:pt>
                <c:pt idx="6">
                  <c:v>11875</c:v>
                </c:pt>
                <c:pt idx="7">
                  <c:v>11875</c:v>
                </c:pt>
                <c:pt idx="8">
                  <c:v>11875</c:v>
                </c:pt>
                <c:pt idx="9">
                  <c:v>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C-4682-8225-ED05C8926DEC}"/>
            </c:ext>
          </c:extLst>
        </c:ser>
        <c:ser>
          <c:idx val="1"/>
          <c:order val="1"/>
          <c:tx>
            <c:strRef>
              <c:f>Финансы!$B$26</c:f>
              <c:strCache>
                <c:ptCount val="1"/>
                <c:pt idx="0">
                  <c:v>Оплата %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Финансы!$F$26:$O$26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5700</c:v>
                </c:pt>
                <c:pt idx="2">
                  <c:v>10687.5</c:v>
                </c:pt>
                <c:pt idx="3">
                  <c:v>9262.5</c:v>
                </c:pt>
                <c:pt idx="4">
                  <c:v>7837.5</c:v>
                </c:pt>
                <c:pt idx="5">
                  <c:v>6412.5</c:v>
                </c:pt>
                <c:pt idx="6">
                  <c:v>4987.5</c:v>
                </c:pt>
                <c:pt idx="7">
                  <c:v>3562.5</c:v>
                </c:pt>
                <c:pt idx="8">
                  <c:v>2137.5</c:v>
                </c:pt>
                <c:pt idx="9">
                  <c:v>712.5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C-4682-8225-ED05C892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100"/>
        <c:axId val="703076368"/>
        <c:axId val="709075136"/>
      </c:barChart>
      <c:lineChart>
        <c:grouping val="standard"/>
        <c:varyColors val="0"/>
        <c:ser>
          <c:idx val="2"/>
          <c:order val="2"/>
          <c:tx>
            <c:strRef>
              <c:f>Финансы!$B$24</c:f>
              <c:strCache>
                <c:ptCount val="1"/>
                <c:pt idx="0">
                  <c:v>Сумма кредита/займа на кон. периода</c:v>
                </c:pt>
              </c:strCache>
            </c:strRef>
          </c:tx>
          <c:spPr>
            <a:ln w="28575" cap="rnd">
              <a:solidFill>
                <a:srgbClr val="A3A3A3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8145527127563055E-2"/>
                  <c:y val="-5.0925925925925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C-4682-8225-ED05C8926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Финансы!$F$3:$O$3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Финансы!$F$24:$O$24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95000</c:v>
                </c:pt>
                <c:pt idx="2">
                  <c:v>83125</c:v>
                </c:pt>
                <c:pt idx="3">
                  <c:v>71250</c:v>
                </c:pt>
                <c:pt idx="4">
                  <c:v>59375</c:v>
                </c:pt>
                <c:pt idx="5">
                  <c:v>47500</c:v>
                </c:pt>
                <c:pt idx="6">
                  <c:v>35625</c:v>
                </c:pt>
                <c:pt idx="7">
                  <c:v>23750</c:v>
                </c:pt>
                <c:pt idx="8">
                  <c:v>11875</c:v>
                </c:pt>
                <c:pt idx="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56C-4682-8225-ED05C8926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15184"/>
        <c:axId val="709061744"/>
      </c:lineChart>
      <c:catAx>
        <c:axId val="703076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09075136"/>
        <c:crosses val="autoZero"/>
        <c:auto val="1"/>
        <c:lblAlgn val="ctr"/>
        <c:lblOffset val="100"/>
        <c:noMultiLvlLbl val="0"/>
      </c:catAx>
      <c:valAx>
        <c:axId val="70907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03076368"/>
        <c:crosses val="autoZero"/>
        <c:crossBetween val="between"/>
        <c:dispUnits>
          <c:builtInUnit val="thousands"/>
        </c:dispUnits>
      </c:valAx>
      <c:valAx>
        <c:axId val="709061744"/>
        <c:scaling>
          <c:orientation val="minMax"/>
        </c:scaling>
        <c:delete val="0"/>
        <c:axPos val="r"/>
        <c:numFmt formatCode="#\ ##0_ ;[Red]\-#\ ##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190915184"/>
        <c:crosses val="max"/>
        <c:crossBetween val="between"/>
        <c:dispUnits>
          <c:builtInUnit val="thousands"/>
        </c:dispUnits>
      </c:valAx>
      <c:catAx>
        <c:axId val="119091518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70906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vert="horz"/>
          <a:lstStyle/>
          <a:p>
            <a:pPr>
              <a:defRPr sz="1400"/>
            </a:pPr>
            <a:r>
              <a:rPr lang="ru-RU" sz="1400"/>
              <a:t>Бюджет доходов и расходов без льгот млн.руб.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БДРбезЛьгот!$B$5</c:f>
              <c:strCache>
                <c:ptCount val="1"/>
                <c:pt idx="0">
                  <c:v>Выручка</c:v>
                </c:pt>
              </c:strCache>
            </c:strRef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БДРбезЛьгот!$F$5:$O$5</c:f>
              <c:numCache>
                <c:formatCode>#\ ##0_ ;[Red]\-#\ 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38530</c:v>
                </c:pt>
                <c:pt idx="3">
                  <c:v>112840</c:v>
                </c:pt>
                <c:pt idx="4">
                  <c:v>117353.60000000002</c:v>
                </c:pt>
                <c:pt idx="5">
                  <c:v>122047.74400000002</c:v>
                </c:pt>
                <c:pt idx="6">
                  <c:v>126929.65376</c:v>
                </c:pt>
                <c:pt idx="7">
                  <c:v>132006.83991040001</c:v>
                </c:pt>
                <c:pt idx="8">
                  <c:v>137287.11350681601</c:v>
                </c:pt>
                <c:pt idx="9">
                  <c:v>142778.59804708866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0-448E-934A-F01B43497A8E}"/>
            </c:ext>
          </c:extLst>
        </c:ser>
        <c:ser>
          <c:idx val="1"/>
          <c:order val="1"/>
          <c:tx>
            <c:strRef>
              <c:f>БДРбезЛьгот!$B$12</c:f>
              <c:strCache>
                <c:ptCount val="1"/>
                <c:pt idx="0">
                  <c:v>Валовая прибыль</c:v>
                </c:pt>
              </c:strCache>
            </c:strRef>
          </c:tx>
          <c:spPr>
            <a:solidFill>
              <a:schemeClr val="accent3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БДРбезЛьгот!$F$12:$O$12</c:f>
              <c:numCache>
                <c:formatCode>#\ ##0_ ;[Red]\-#\ ##0\ </c:formatCode>
                <c:ptCount val="10"/>
                <c:pt idx="0">
                  <c:v>-4985</c:v>
                </c:pt>
                <c:pt idx="1">
                  <c:v>-5181.8</c:v>
                </c:pt>
                <c:pt idx="2">
                  <c:v>-5118.1090848952372</c:v>
                </c:pt>
                <c:pt idx="3">
                  <c:v>60190.063612491169</c:v>
                </c:pt>
                <c:pt idx="4">
                  <c:v>63311.014723232016</c:v>
                </c:pt>
                <c:pt idx="5">
                  <c:v>66568.80050459523</c:v>
                </c:pt>
                <c:pt idx="6">
                  <c:v>70068.617598522309</c:v>
                </c:pt>
                <c:pt idx="7">
                  <c:v>74554.773189891595</c:v>
                </c:pt>
                <c:pt idx="8">
                  <c:v>78367.029869202132</c:v>
                </c:pt>
                <c:pt idx="9">
                  <c:v>85916.84356487554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0-448E-934A-F01B43497A8E}"/>
            </c:ext>
          </c:extLst>
        </c:ser>
        <c:ser>
          <c:idx val="2"/>
          <c:order val="2"/>
          <c:tx>
            <c:strRef>
              <c:f>БДРбезЛьгот!$B$17</c:f>
              <c:strCache>
                <c:ptCount val="1"/>
                <c:pt idx="0">
                  <c:v>Прибыль/убыток от продаж</c:v>
                </c:pt>
              </c:strCache>
            </c:strRef>
          </c:tx>
          <c:spPr>
            <a:solidFill>
              <a:schemeClr val="accent3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БДРбезЛьгот!$F$17:$O$17</c:f>
              <c:numCache>
                <c:formatCode>#\ ##0_ ;[Red]\-#\ ##0\ </c:formatCode>
                <c:ptCount val="10"/>
                <c:pt idx="0">
                  <c:v>-8890.52</c:v>
                </c:pt>
                <c:pt idx="1">
                  <c:v>-9177.4524799999999</c:v>
                </c:pt>
                <c:pt idx="2">
                  <c:v>-17081.953503455239</c:v>
                </c:pt>
                <c:pt idx="3">
                  <c:v>47907.245394630052</c:v>
                </c:pt>
                <c:pt idx="4">
                  <c:v>50700.610413488648</c:v>
                </c:pt>
                <c:pt idx="5">
                  <c:v>53621.965278488788</c:v>
                </c:pt>
                <c:pt idx="6">
                  <c:v>56789.064656537099</c:v>
                </c:pt>
                <c:pt idx="7">
                  <c:v>60933.851871414772</c:v>
                </c:pt>
                <c:pt idx="8">
                  <c:v>64395.86459644491</c:v>
                </c:pt>
                <c:pt idx="9">
                  <c:v>71586.32799502663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0-448E-934A-F01B43497A8E}"/>
            </c:ext>
          </c:extLst>
        </c:ser>
        <c:ser>
          <c:idx val="3"/>
          <c:order val="3"/>
          <c:tx>
            <c:strRef>
              <c:f>БДРбезЛьгот!$B$28</c:f>
              <c:strCache>
                <c:ptCount val="1"/>
                <c:pt idx="0">
                  <c:v>Чистая прибыль/убыток</c:v>
                </c:pt>
              </c:strCache>
            </c:strRef>
          </c:tx>
          <c:spPr>
            <a:solidFill>
              <a:srgbClr val="EC004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БДРбезЛьгот!$F$3:$O$3</c:f>
              <c:numCache>
                <c:formatCode>0</c:formatCode>
                <c:ptCount val="10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</c:numCache>
            </c:numRef>
          </c:cat>
          <c:val>
            <c:numRef>
              <c:f>БДРбезЛьгот!$F$28:$O$28</c:f>
              <c:numCache>
                <c:formatCode>#\ ##0_ ;[Red]\-#\ ##0\ </c:formatCode>
                <c:ptCount val="10"/>
                <c:pt idx="0">
                  <c:v>-7289.7493333333332</c:v>
                </c:pt>
                <c:pt idx="1">
                  <c:v>-12482.628650666666</c:v>
                </c:pt>
                <c:pt idx="2">
                  <c:v>-22966.096136097523</c:v>
                </c:pt>
                <c:pt idx="3">
                  <c:v>30197.529649037373</c:v>
                </c:pt>
                <c:pt idx="4">
                  <c:v>33604.488330790919</c:v>
                </c:pt>
                <c:pt idx="5">
                  <c:v>37113.8388894577</c:v>
                </c:pt>
                <c:pt idx="6">
                  <c:v>40819.785058563008</c:v>
                </c:pt>
                <c:pt idx="7">
                  <c:v>45307.881497131821</c:v>
                </c:pt>
                <c:pt idx="8">
                  <c:v>49249.758343822599</c:v>
                </c:pt>
                <c:pt idx="9">
                  <c:v>56174.395729354641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50-448E-934A-F01B43497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97199"/>
        <c:axId val="562602783"/>
      </c:barChart>
      <c:catAx>
        <c:axId val="5524971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62602783"/>
        <c:crosses val="autoZero"/>
        <c:auto val="1"/>
        <c:lblAlgn val="ctr"/>
        <c:lblOffset val="100"/>
        <c:noMultiLvlLbl val="0"/>
      </c:catAx>
      <c:valAx>
        <c:axId val="56260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[Red]\-#\ ##0\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552497199"/>
        <c:crosses val="autoZero"/>
        <c:crossBetween val="between"/>
        <c:dispUnits>
          <c:builtInUnit val="thousands"/>
        </c:dispUnits>
      </c:val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  <c:extLst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0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checked="Checked" fmlaLink="$D$7" lockText="1" noThreeD="1"/>
</file>

<file path=xl/ctrlProps/ctrlProp2.xml><?xml version="1.0" encoding="utf-8"?>
<formControlPr xmlns="http://schemas.microsoft.com/office/spreadsheetml/2009/9/main" objectType="CheckBox" checked="Checked" fmlaLink="$D$8" lockText="1" noThreeD="1"/>
</file>

<file path=xl/ctrlProps/ctrlProp3.xml><?xml version="1.0" encoding="utf-8"?>
<formControlPr xmlns="http://schemas.microsoft.com/office/spreadsheetml/2009/9/main" objectType="CheckBox" checked="Checked" fmlaLink="$D$9" lockText="1" noThreeD="1"/>
</file>

<file path=xl/ctrlProps/ctrlProp4.xml><?xml version="1.0" encoding="utf-8"?>
<formControlPr xmlns="http://schemas.microsoft.com/office/spreadsheetml/2009/9/main" objectType="CheckBox" checked="Checked" fmlaLink="$D$10" lockText="1" noThreeD="1"/>
</file>

<file path=xl/ctrlProps/ctrlProp5.xml><?xml version="1.0" encoding="utf-8"?>
<formControlPr xmlns="http://schemas.microsoft.com/office/spreadsheetml/2009/9/main" objectType="CheckBox" checked="Checked" fmlaLink="$D$11" lockText="1" noThreeD="1"/>
</file>

<file path=xl/ctrlProps/ctrlProp6.xml><?xml version="1.0" encoding="utf-8"?>
<formControlPr xmlns="http://schemas.microsoft.com/office/spreadsheetml/2009/9/main" objectType="CheckBox" checked="Checked" fmlaLink="$D$12" lockText="1" noThreeD="1"/>
</file>

<file path=xl/ctrlProps/ctrlProp7.xml><?xml version="1.0" encoding="utf-8"?>
<formControlPr xmlns="http://schemas.microsoft.com/office/spreadsheetml/2009/9/main" objectType="CheckBox" checked="Checked" fmlaLink="$D$13" lockText="1" noThreeD="1"/>
</file>

<file path=xl/ctrlProps/ctrlProp8.xml><?xml version="1.0" encoding="utf-8"?>
<formControlPr xmlns="http://schemas.microsoft.com/office/spreadsheetml/2009/9/main" objectType="CheckBox" checked="Checked" fmlaLink="$D$14" lockText="1" noThreeD="1"/>
</file>

<file path=xl/ctrlProps/ctrlProp9.xml><?xml version="1.0" encoding="utf-8"?>
<formControlPr xmlns="http://schemas.microsoft.com/office/spreadsheetml/2009/9/main" objectType="CheckBox" checked="Checked" fmlaLink="$D$17" lockText="1" noThreeD="1"/>
</file>

<file path=xl/ctrlProps/ctrlProp10.xml><?xml version="1.0" encoding="utf-8"?>
<formControlPr xmlns="http://schemas.microsoft.com/office/spreadsheetml/2009/9/main" objectType="CheckBox" checked="Checked" fmlaLink="$D$18" lockText="1" noThreeD="1"/>
</file>

<file path=xl/ctrlProps/ctrlProp11.xml><?xml version="1.0" encoding="utf-8"?>
<formControlPr xmlns="http://schemas.microsoft.com/office/spreadsheetml/2009/9/main" objectType="CheckBox" checked="Checked" fmlaLink="$D$19" lockText="1" noThreeD="1"/>
</file>

<file path=xl/ctrlProps/ctrlProp12.xml><?xml version="1.0" encoding="utf-8"?>
<formControlPr xmlns="http://schemas.microsoft.com/office/spreadsheetml/2009/9/main" objectType="CheckBox" fmlaLink="R8" lockText="1" noThreeD="1"/>
</file>

<file path=xl/ctrlProps/ctrlProp13.xml><?xml version="1.0" encoding="utf-8"?>
<formControlPr xmlns="http://schemas.microsoft.com/office/spreadsheetml/2009/9/main" objectType="CheckBox" fmlaLink="$R$9" lockText="1" noThreeD="1"/>
</file>

<file path=xl/ctrlProps/ctrlProp14.xml><?xml version="1.0" encoding="utf-8"?>
<formControlPr xmlns="http://schemas.microsoft.com/office/spreadsheetml/2009/9/main" objectType="CheckBox" fmlaLink="$R$10" lockText="1" noThreeD="1"/>
</file>

<file path=xl/ctrlProps/ctrlProp15.xml><?xml version="1.0" encoding="utf-8"?>
<formControlPr xmlns="http://schemas.microsoft.com/office/spreadsheetml/2009/9/main" objectType="CheckBox" fmlaLink="$R$11" lockText="1" noThreeD="1"/>
</file>

<file path=xl/ctrlProps/ctrlProp16.xml><?xml version="1.0" encoding="utf-8"?>
<formControlPr xmlns="http://schemas.microsoft.com/office/spreadsheetml/2009/9/main" objectType="CheckBox" fmlaLink="$R$14" lockText="1" noThreeD="1"/>
</file>

<file path=xl/ctrlProps/ctrlProp17.xml><?xml version="1.0" encoding="utf-8"?>
<formControlPr xmlns="http://schemas.microsoft.com/office/spreadsheetml/2009/9/main" objectType="CheckBox" fmlaLink="$R$18" lockText="1" noThreeD="1"/>
</file>

<file path=xl/ctrlProps/ctrlProp18.xml><?xml version="1.0" encoding="utf-8"?>
<formControlPr xmlns="http://schemas.microsoft.com/office/spreadsheetml/2009/9/main" objectType="CheckBox" fmlaLink="$R$19" lockText="1" noThreeD="1"/>
</file>

<file path=xl/ctrlProps/ctrlProp19.xml><?xml version="1.0" encoding="utf-8"?>
<formControlPr xmlns="http://schemas.microsoft.com/office/spreadsheetml/2009/9/main" objectType="CheckBox" fmlaLink="$R$20" lockText="1" noThreeD="1"/>
</file>

<file path=xl/ctrlProps/ctrlProp20.xml><?xml version="1.0" encoding="utf-8"?>
<formControlPr xmlns="http://schemas.microsoft.com/office/spreadsheetml/2009/9/main" objectType="CheckBox" fmlaLink="$R$21" lockText="1" noThreeD="1"/>
</file>

<file path=xl/ctrlProps/ctrlProp21.xml><?xml version="1.0" encoding="utf-8"?>
<formControlPr xmlns="http://schemas.microsoft.com/office/spreadsheetml/2009/9/main" objectType="CheckBox" fmlaLink="$R$22" lockText="1" noThreeD="1"/>
</file>

<file path=xl/ctrlProps/ctrlProp22.xml><?xml version="1.0" encoding="utf-8"?>
<formControlPr xmlns="http://schemas.microsoft.com/office/spreadsheetml/2009/9/main" objectType="CheckBox" checked="Checked" fmlaLink="$R$25" lockText="1" noThreeD="1"/>
</file>

<file path=xl/ctrlProps/ctrlProp23.xml><?xml version="1.0" encoding="utf-8"?>
<formControlPr xmlns="http://schemas.microsoft.com/office/spreadsheetml/2009/9/main" objectType="CheckBox" fmlaLink="$R$28" lockText="1" noThreeD="1"/>
</file>

<file path=xl/ctrlProps/ctrlProp24.xml><?xml version="1.0" encoding="utf-8"?>
<formControlPr xmlns="http://schemas.microsoft.com/office/spreadsheetml/2009/9/main" objectType="CheckBox" fmlaLink="$R$31" lockText="1" noThreeD="1"/>
</file>

<file path=xl/ctrlProps/ctrlProp25.xml><?xml version="1.0" encoding="utf-8"?>
<formControlPr xmlns="http://schemas.microsoft.com/office/spreadsheetml/2009/9/main" objectType="CheckBox" checked="Checked" fmlaLink="$R$34" lockText="1" noThreeD="1"/>
</file>

<file path=xl/ctrlProps/ctrlProp26.xml><?xml version="1.0" encoding="utf-8"?>
<formControlPr xmlns="http://schemas.microsoft.com/office/spreadsheetml/2009/9/main" objectType="CheckBox" checked="Checked" fmlaLink="$R$40" lockText="1" noThreeD="1"/>
</file>

<file path=xl/ctrlProps/ctrlProp27.xml><?xml version="1.0" encoding="utf-8"?>
<formControlPr xmlns="http://schemas.microsoft.com/office/spreadsheetml/2009/9/main" objectType="CheckBox" checked="Checked" fmlaLink="$R$41" lockText="1" noThreeD="1"/>
</file>

<file path=xl/ctrlProps/ctrlProp28.xml><?xml version="1.0" encoding="utf-8"?>
<formControlPr xmlns="http://schemas.microsoft.com/office/spreadsheetml/2009/9/main" objectType="CheckBox" checked="Checked" fmlaLink="$R$45" lockText="1" noThreeD="1"/>
</file>

<file path=xl/ctrlProps/ctrlProp29.xml><?xml version="1.0" encoding="utf-8"?>
<formControlPr xmlns="http://schemas.microsoft.com/office/spreadsheetml/2009/9/main" objectType="CheckBox" checked="Checked" fmlaLink="$R$46" lockText="1" noThreeD="1"/>
</file>

<file path=xl/ctrlProps/ctrlProp30.xml><?xml version="1.0" encoding="utf-8"?>
<formControlPr xmlns="http://schemas.microsoft.com/office/spreadsheetml/2009/9/main" objectType="CheckBox" checked="Checked" fmlaLink="$R$47" lockText="1" noThreeD="1"/>
</file>

<file path=xl/ctrlProps/ctrlProp31.xml><?xml version="1.0" encoding="utf-8"?>
<formControlPr xmlns="http://schemas.microsoft.com/office/spreadsheetml/2009/9/main" objectType="CheckBox" checked="Checked" fmlaLink="$R$48" lockText="1" noThreeD="1"/>
</file>

<file path=xl/ctrlProps/ctrlProp32.xml><?xml version="1.0" encoding="utf-8"?>
<formControlPr xmlns="http://schemas.microsoft.com/office/spreadsheetml/2009/9/main" objectType="CheckBox" checked="Checked" fmlaLink="$R$49" lockText="1" noThreeD="1"/>
</file>

<file path=xl/ctrlProps/ctrlProp33.xml><?xml version="1.0" encoding="utf-8"?>
<formControlPr xmlns="http://schemas.microsoft.com/office/spreadsheetml/2009/9/main" objectType="CheckBox" checked="Checked" fmlaLink="$R$50" lockText="1" noThreeD="1"/>
</file>

<file path=xl/ctrlProps/ctrlProp34.xml><?xml version="1.0" encoding="utf-8"?>
<formControlPr xmlns="http://schemas.microsoft.com/office/spreadsheetml/2009/9/main" objectType="CheckBox" fmlaLink="$R$53" lockText="1" noThreeD="1"/>
</file>

<file path=xl/ctrlProps/ctrlProp35.xml><?xml version="1.0" encoding="utf-8"?>
<formControlPr xmlns="http://schemas.microsoft.com/office/spreadsheetml/2009/9/main" objectType="CheckBox" fmlaLink="$R$56" lockText="1" noThreeD="1"/>
</file>

<file path=xl/ctrlProps/ctrlProp36.xml><?xml version="1.0" encoding="utf-8"?>
<formControlPr xmlns="http://schemas.microsoft.com/office/spreadsheetml/2009/9/main" objectType="CheckBox" checked="Checked" fmlaLink="$R$59" lockText="1" noThreeD="1"/>
</file>

<file path=xl/ctrlProps/ctrlProp37.xml><?xml version="1.0" encoding="utf-8"?>
<formControlPr xmlns="http://schemas.microsoft.com/office/spreadsheetml/2009/9/main" objectType="CheckBox" fmlaLink="$G$8" lockText="1" noThreeD="1"/>
</file>

<file path=xl/ctrlProps/ctrlProp38.xml><?xml version="1.0" encoding="utf-8"?>
<formControlPr xmlns="http://schemas.microsoft.com/office/spreadsheetml/2009/9/main" objectType="CheckBox" fmlaLink="$G$10" lockText="1" noThreeD="1"/>
</file>

<file path=xl/ctrlProps/ctrlProp39.xml><?xml version="1.0" encoding="utf-8"?>
<formControlPr xmlns="http://schemas.microsoft.com/office/spreadsheetml/2009/9/main" objectType="CheckBox" fmlaLink="$G$6" lockText="1" noThreeD="1"/>
</file>

<file path=xl/ctrlProps/ctrlProp40.xml><?xml version="1.0" encoding="utf-8"?>
<formControlPr xmlns="http://schemas.microsoft.com/office/spreadsheetml/2009/9/main" objectType="CheckBox" fmlaLink="$G$12" lockText="1" noThreeD="1"/>
</file>

<file path=xl/ctrlProps/ctrlProp41.xml><?xml version="1.0" encoding="utf-8"?>
<formControlPr xmlns="http://schemas.microsoft.com/office/spreadsheetml/2009/9/main" objectType="CheckBox" fmlaLink="$G$14" lockText="1" noThreeD="1"/>
</file>

<file path=xl/ctrlProps/ctrlProp42.xml><?xml version="1.0" encoding="utf-8"?>
<formControlPr xmlns="http://schemas.microsoft.com/office/spreadsheetml/2009/9/main" objectType="CheckBox" fmlaLink="$G$16" lockText="1" noThreeD="1"/>
</file>

<file path=xl/ctrlProps/ctrlProp43.xml><?xml version="1.0" encoding="utf-8"?>
<formControlPr xmlns="http://schemas.microsoft.com/office/spreadsheetml/2009/9/main" objectType="CheckBox" fmlaLink="$G$18" lockText="1" noThreeD="1"/>
</file>

<file path=xl/ctrlProps/ctrlProp44.xml><?xml version="1.0" encoding="utf-8"?>
<formControlPr xmlns="http://schemas.microsoft.com/office/spreadsheetml/2009/9/main" objectType="CheckBox" fmlaLink="$G$20" lockText="1" noThreeD="1"/>
</file>

<file path=xl/ctrlProps/ctrlProp45.xml><?xml version="1.0" encoding="utf-8"?>
<formControlPr xmlns="http://schemas.microsoft.com/office/spreadsheetml/2009/9/main" objectType="CheckBox" fmlaLink="$G$22" lockText="1" noThreeD="1"/>
</file>

<file path=xl/ctrlProps/ctrlProp46.xml><?xml version="1.0" encoding="utf-8"?>
<formControlPr xmlns="http://schemas.microsoft.com/office/spreadsheetml/2009/9/main" objectType="CheckBox" fmlaLink="$G$24" lockText="1" noThreeD="1"/>
</file>

<file path=xl/ctrlProps/ctrlProp47.xml><?xml version="1.0" encoding="utf-8"?>
<formControlPr xmlns="http://schemas.microsoft.com/office/spreadsheetml/2009/9/main" objectType="CheckBox" fmlaLink="$G$26" lockText="1" noThreeD="1"/>
</file>

<file path=xl/ctrlProps/ctrlProp48.xml><?xml version="1.0" encoding="utf-8"?>
<formControlPr xmlns="http://schemas.microsoft.com/office/spreadsheetml/2009/9/main" objectType="CheckBox" fmlaLink="$G$28" lockText="1" noThreeD="1"/>
</file>

<file path=xl/ctrlProps/ctrlProp49.xml><?xml version="1.0" encoding="utf-8"?>
<formControlPr xmlns="http://schemas.microsoft.com/office/spreadsheetml/2009/9/main" objectType="CheckBox" fmlaLink="$G$30" lockText="1" noThreeD="1"/>
</file>

<file path=xl/ctrlProps/ctrlProp50.xml><?xml version="1.0" encoding="utf-8"?>
<formControlPr xmlns="http://schemas.microsoft.com/office/spreadsheetml/2009/9/main" objectType="CheckBox" fmlaLink="$G$32" lockText="1" noThreeD="1"/>
</file>

<file path=xl/ctrlProps/ctrlProp51.xml><?xml version="1.0" encoding="utf-8"?>
<formControlPr xmlns="http://schemas.microsoft.com/office/spreadsheetml/2009/9/main" objectType="CheckBox" fmlaLink="$G$34" lockText="1" noThreeD="1"/>
</file>

<file path=xl/ctrlProps/ctrlProp52.xml><?xml version="1.0" encoding="utf-8"?>
<formControlPr xmlns="http://schemas.microsoft.com/office/spreadsheetml/2009/9/main" objectType="CheckBox" fmlaLink="$G$36" lockText="1" noThreeD="1"/>
</file>

<file path=xl/ctrlProps/ctrlProp53.xml><?xml version="1.0" encoding="utf-8"?>
<formControlPr xmlns="http://schemas.microsoft.com/office/spreadsheetml/2009/9/main" objectType="CheckBox" fmlaLink="$G$38" lockText="1" noThreeD="1"/>
</file>

<file path=xl/ctrlProps/ctrlProp54.xml><?xml version="1.0" encoding="utf-8"?>
<formControlPr xmlns="http://schemas.microsoft.com/office/spreadsheetml/2009/9/main" objectType="CheckBox" fmlaLink="$G$40" lockText="1" noThreeD="1"/>
</file>

<file path=xl/ctrlProps/ctrlProp55.xml><?xml version="1.0" encoding="utf-8"?>
<formControlPr xmlns="http://schemas.microsoft.com/office/spreadsheetml/2009/9/main" objectType="CheckBox" fmlaLink="$G$40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$G$40" lockText="1" noThreeD="1"/>
</file>

<file path=xl/ctrlProps/ctrlProp58.xml><?xml version="1.0" encoding="utf-8"?>
<formControlPr xmlns="http://schemas.microsoft.com/office/spreadsheetml/2009/9/main" objectType="CheckBox" fmlaLink="$G$42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1054;&#1075;&#1083;&#1072;&#1074;&#1083;&#1077;&#1085;&#1080;&#107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&#1054;&#1075;&#1083;&#1072;&#1074;&#1083;&#1077;&#1085;&#1080;&#1077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&#1054;&#1075;&#1083;&#1072;&#1074;&#1083;&#1077;&#1085;&#1080;&#107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hyperlink" Target="#&#1054;&#1075;&#1083;&#1072;&#1074;&#1083;&#1077;&#1085;&#1080;&#1077;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hyperlink" Target="#&#1054;&#1075;&#1083;&#1072;&#1074;&#1083;&#1077;&#1085;&#1080;&#1077;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hyperlink" Target="#&#1054;&#1075;&#1083;&#1072;&#1074;&#1083;&#1077;&#1085;&#1080;&#1077;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hyperlink" Target="#&#1054;&#1075;&#1083;&#1072;&#1074;&#1083;&#1077;&#1085;&#1080;&#1077;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5.xml.rels><?xml version="1.0" encoding="UTF-8" standalone="yes"?>
<Relationships xmlns="http://schemas.openxmlformats.org/package/2006/relationships"><Relationship Id="rId13" Type="http://schemas.openxmlformats.org/officeDocument/2006/relationships/hyperlink" Target="#&#1058;&#1080;&#1090;&#1091;&#1083;!A1"/><Relationship Id="rId18" Type="http://schemas.openxmlformats.org/officeDocument/2006/relationships/hyperlink" Target="#&#1050;&#1055;&#1069;&#1073;&#1077;&#1079;&#1051;&#1100;&#1075;&#1086;&#1090;!A1"/><Relationship Id="rId26" Type="http://schemas.openxmlformats.org/officeDocument/2006/relationships/hyperlink" Target="#&#1050;&#1086;&#1085;&#1090;&#1088;&#1086;&#1083;&#1100;!A1"/><Relationship Id="rId21" Type="http://schemas.openxmlformats.org/officeDocument/2006/relationships/hyperlink" Target="#&#1041;&#1044;&#1044;&#1057;!A1"/><Relationship Id="rId34" Type="http://schemas.openxmlformats.org/officeDocument/2006/relationships/hyperlink" Target="#&#1041;&#1072;&#1083;&#1072;&#1085;&#1089;!A1"/><Relationship Id="rId7" Type="http://schemas.openxmlformats.org/officeDocument/2006/relationships/hyperlink" Target="#&#1040;&#1076;&#1084;&#1056;&#1072;&#1089;&#1093;&#1086;&#1076;&#1099;!A1"/><Relationship Id="rId12" Type="http://schemas.openxmlformats.org/officeDocument/2006/relationships/hyperlink" Target="#&#1053;&#1072;&#1083;&#1048;&#1084;&#1091;&#1097;&#1077;&#1089;&#1090;&#1074;&#1086;!A1"/><Relationship Id="rId17" Type="http://schemas.openxmlformats.org/officeDocument/2006/relationships/hyperlink" Target="#&#1050;&#1055;&#1069;!A1"/><Relationship Id="rId25" Type="http://schemas.openxmlformats.org/officeDocument/2006/relationships/hyperlink" Target="#&#1051;&#1077;&#1075;&#1077;&#1085;&#1076;&#1072;!A1"/><Relationship Id="rId33" Type="http://schemas.openxmlformats.org/officeDocument/2006/relationships/hyperlink" Target="#&#1053;&#1072;&#1083;&#1086;&#1075;&#1057;&#1074;&#1086;&#1076;!A1"/><Relationship Id="rId2" Type="http://schemas.openxmlformats.org/officeDocument/2006/relationships/hyperlink" Target="#&#1048;&#1089;&#1093;&#1086;&#1076;&#1085;&#1099;&#1077;!A1"/><Relationship Id="rId16" Type="http://schemas.openxmlformats.org/officeDocument/2006/relationships/hyperlink" Target="#&#1041;&#1044;&#1044;&#1057;&#1073;&#1077;&#1079;&#1051;&#1100;&#1075;&#1086;&#1090;!A1"/><Relationship Id="rId20" Type="http://schemas.openxmlformats.org/officeDocument/2006/relationships/hyperlink" Target="#&#1057;&#1077;&#1073;&#1077;&#1089;&#1090;&#1086;&#1080;&#1084;&#1086;&#1089;&#1090;&#1100;!A1"/><Relationship Id="rId29" Type="http://schemas.openxmlformats.org/officeDocument/2006/relationships/hyperlink" Target="#&#1063;&#1091;&#1074;&#1089;&#1090;&#1074;&#1080;&#1090;&#1077;&#1083;&#1100;&#1085;&#1086;&#1089;&#1090;&#1100;!A1"/><Relationship Id="rId1" Type="http://schemas.openxmlformats.org/officeDocument/2006/relationships/hyperlink" Target="#&#1052;&#1072;&#1082;&#1088;&#1086;!A1"/><Relationship Id="rId6" Type="http://schemas.openxmlformats.org/officeDocument/2006/relationships/hyperlink" Target="#&#1054;&#1073;&#1097;&#1055;&#1088;&#1056;&#1072;&#1089;&#1093;&#1086;&#1076;&#1099;!A1"/><Relationship Id="rId11" Type="http://schemas.openxmlformats.org/officeDocument/2006/relationships/hyperlink" Target="#&#1053;&#1072;&#1083;&#1055;&#1088;&#1080;&#1073;&#1099;&#1083;&#1100;!A1"/><Relationship Id="rId24" Type="http://schemas.openxmlformats.org/officeDocument/2006/relationships/hyperlink" Target="#&#1041;&#1072;&#1083;&#1072;&#1085;&#1089;&#1073;&#1077;&#1079;&#1051;&#1100;&#1075;&#1086;&#1090;!A1"/><Relationship Id="rId32" Type="http://schemas.openxmlformats.org/officeDocument/2006/relationships/hyperlink" Target="#&#1053;&#1072;&#1083;&#1047;&#1077;&#1084;&#1083;&#1103;!A1"/><Relationship Id="rId37" Type="http://schemas.openxmlformats.org/officeDocument/2006/relationships/hyperlink" Target="#&#1044;&#1072;&#1096;&#1073;&#1086;&#1088;&#1076;_&#1085;&#1072;&#1083;&#1086;&#1075;&#1080;!A1"/><Relationship Id="rId5" Type="http://schemas.openxmlformats.org/officeDocument/2006/relationships/hyperlink" Target="#&#1055;&#1088;&#1086;&#1076;&#1072;&#1078;&#1080;!A1"/><Relationship Id="rId15" Type="http://schemas.openxmlformats.org/officeDocument/2006/relationships/hyperlink" Target="#&#1041;&#1044;&#1056;&#1073;&#1077;&#1079;&#1051;&#1100;&#1075;&#1086;&#1090;!A1"/><Relationship Id="rId23" Type="http://schemas.openxmlformats.org/officeDocument/2006/relationships/hyperlink" Target="#&#1041;&#1044;&#1056;!A1"/><Relationship Id="rId28" Type="http://schemas.openxmlformats.org/officeDocument/2006/relationships/hyperlink" Target="#&#1054;&#1087;&#1080;&#1089;&#1072;&#1085;&#1080;&#1077;!A1"/><Relationship Id="rId36" Type="http://schemas.openxmlformats.org/officeDocument/2006/relationships/hyperlink" Target="#&#1044;&#1072;&#1096;&#1073;&#1086;&#1088;&#1076;_1!A1"/><Relationship Id="rId10" Type="http://schemas.openxmlformats.org/officeDocument/2006/relationships/hyperlink" Target="#&#1053;&#1044;&#1057;!A1"/><Relationship Id="rId19" Type="http://schemas.openxmlformats.org/officeDocument/2006/relationships/hyperlink" Target="#&#1055;&#1077;&#1088;&#1089;&#1086;&#1085;&#1072;&#1083;!A1"/><Relationship Id="rId31" Type="http://schemas.openxmlformats.org/officeDocument/2006/relationships/hyperlink" Target="#&#1048;&#1090;&#1086;&#1075;&#1058;&#1072;&#1073;&#1083;&#1080;&#1094;&#1099;!A1"/><Relationship Id="rId4" Type="http://schemas.openxmlformats.org/officeDocument/2006/relationships/hyperlink" Target="#&#1060;&#1080;&#1085;&#1072;&#1085;&#1089;&#1099;!A1"/><Relationship Id="rId9" Type="http://schemas.openxmlformats.org/officeDocument/2006/relationships/hyperlink" Target="#&#1055;&#1088;&#1086;&#1095;&#1056;&#1072;&#1089;&#1093;&#1086;&#1076;&#1099;!A1"/><Relationship Id="rId14" Type="http://schemas.openxmlformats.org/officeDocument/2006/relationships/hyperlink" Target="#&#1054;&#1075;&#1083;&#1072;&#1074;&#1083;&#1077;&#1085;&#1080;&#1077;!A1"/><Relationship Id="rId22" Type="http://schemas.openxmlformats.org/officeDocument/2006/relationships/hyperlink" Target="#&#1050;&#1055;&#1069;&#1076;&#1080;&#1072;&#1075;&#1088;&#1073;&#1077;&#1079;&#1051;&#1100;&#1075;&#1086;&#1090;!A1"/><Relationship Id="rId27" Type="http://schemas.openxmlformats.org/officeDocument/2006/relationships/hyperlink" Target="#&#1058;&#1088;&#1077;&#1073;&#1086;&#1074;&#1072;&#1085;&#1080;&#1103;!A1"/><Relationship Id="rId30" Type="http://schemas.openxmlformats.org/officeDocument/2006/relationships/hyperlink" Target="#WACC!A1"/><Relationship Id="rId35" Type="http://schemas.openxmlformats.org/officeDocument/2006/relationships/hyperlink" Target="#&#1043;&#1088;&#1072;&#1092;&#1080;&#1082;&#1080;!A1"/><Relationship Id="rId8" Type="http://schemas.openxmlformats.org/officeDocument/2006/relationships/hyperlink" Target="#&#1055;&#1088;&#1086;&#1095;&#1044;&#1086;&#1093;&#1086;&#1076;&#1099;!A1"/><Relationship Id="rId3" Type="http://schemas.openxmlformats.org/officeDocument/2006/relationships/hyperlink" Target="#&#1048;&#1085;&#1074;&#1077;&#1089;&#1090;&#1080;&#1094;&#1080;&#1080;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&#1054;&#1075;&#1083;&#1072;&#1074;&#1083;&#1077;&#1085;&#1080;&#1077;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hyperlink" Target="#&#1057;&#1090;&#1088;&#1091;&#1082;&#1090;&#1091;&#1088;&#1072;!A1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0</xdr:row>
      <xdr:rowOff>53340</xdr:rowOff>
    </xdr:from>
    <xdr:to>
      <xdr:col>3</xdr:col>
      <xdr:colOff>1440510</xdr:colOff>
      <xdr:row>2</xdr:row>
      <xdr:rowOff>0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894570" y="53340"/>
          <a:ext cx="937590" cy="365760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 editAs="oneCell">
    <xdr:from>
      <xdr:col>0</xdr:col>
      <xdr:colOff>0</xdr:colOff>
      <xdr:row>0</xdr:row>
      <xdr:rowOff>2196</xdr:rowOff>
    </xdr:from>
    <xdr:to>
      <xdr:col>1</xdr:col>
      <xdr:colOff>262890</xdr:colOff>
      <xdr:row>1</xdr:row>
      <xdr:rowOff>200025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6"/>
          <a:ext cx="853440" cy="388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502920</xdr:colOff>
      <xdr:row>0</xdr:row>
      <xdr:rowOff>53340</xdr:rowOff>
    </xdr:from>
    <xdr:to>
      <xdr:col>3</xdr:col>
      <xdr:colOff>1440510</xdr:colOff>
      <xdr:row>2</xdr:row>
      <xdr:rowOff>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542020" y="53340"/>
          <a:ext cx="937590" cy="327660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 editAs="oneCell">
    <xdr:from>
      <xdr:col>0</xdr:col>
      <xdr:colOff>60960</xdr:colOff>
      <xdr:row>0</xdr:row>
      <xdr:rowOff>2196</xdr:rowOff>
    </xdr:from>
    <xdr:to>
      <xdr:col>1</xdr:col>
      <xdr:colOff>323850</xdr:colOff>
      <xdr:row>2</xdr:row>
      <xdr:rowOff>31750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196"/>
          <a:ext cx="855557" cy="4105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6</xdr:row>
          <xdr:rowOff>200025</xdr:rowOff>
        </xdr:from>
        <xdr:to>
          <xdr:col>2</xdr:col>
          <xdr:colOff>1162050</xdr:colOff>
          <xdr:row>6</xdr:row>
          <xdr:rowOff>457200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2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7</xdr:row>
          <xdr:rowOff>57150</xdr:rowOff>
        </xdr:from>
        <xdr:to>
          <xdr:col>2</xdr:col>
          <xdr:colOff>1162050</xdr:colOff>
          <xdr:row>7</xdr:row>
          <xdr:rowOff>361950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2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8</xdr:row>
          <xdr:rowOff>219075</xdr:rowOff>
        </xdr:from>
        <xdr:to>
          <xdr:col>2</xdr:col>
          <xdr:colOff>1162050</xdr:colOff>
          <xdr:row>8</xdr:row>
          <xdr:rowOff>514350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2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9</xdr:row>
          <xdr:rowOff>133350</xdr:rowOff>
        </xdr:from>
        <xdr:to>
          <xdr:col>2</xdr:col>
          <xdr:colOff>1152525</xdr:colOff>
          <xdr:row>9</xdr:row>
          <xdr:rowOff>314325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2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10</xdr:row>
          <xdr:rowOff>314325</xdr:rowOff>
        </xdr:from>
        <xdr:to>
          <xdr:col>2</xdr:col>
          <xdr:colOff>1162050</xdr:colOff>
          <xdr:row>10</xdr:row>
          <xdr:rowOff>514350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2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942975</xdr:colOff>
          <xdr:row>11</xdr:row>
          <xdr:rowOff>238125</xdr:rowOff>
        </xdr:from>
        <xdr:to>
          <xdr:col>2</xdr:col>
          <xdr:colOff>1162050</xdr:colOff>
          <xdr:row>11</xdr:row>
          <xdr:rowOff>514350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2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962025</xdr:colOff>
          <xdr:row>12</xdr:row>
          <xdr:rowOff>228600</xdr:rowOff>
        </xdr:from>
        <xdr:to>
          <xdr:col>2</xdr:col>
          <xdr:colOff>1143000</xdr:colOff>
          <xdr:row>12</xdr:row>
          <xdr:rowOff>447675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2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923925</xdr:colOff>
          <xdr:row>13</xdr:row>
          <xdr:rowOff>400050</xdr:rowOff>
        </xdr:from>
        <xdr:to>
          <xdr:col>2</xdr:col>
          <xdr:colOff>1181100</xdr:colOff>
          <xdr:row>13</xdr:row>
          <xdr:rowOff>590550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2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16</xdr:row>
          <xdr:rowOff>57150</xdr:rowOff>
        </xdr:from>
        <xdr:to>
          <xdr:col>2</xdr:col>
          <xdr:colOff>1162050</xdr:colOff>
          <xdr:row>16</xdr:row>
          <xdr:rowOff>352425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2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17</xdr:row>
          <xdr:rowOff>57150</xdr:rowOff>
        </xdr:from>
        <xdr:to>
          <xdr:col>2</xdr:col>
          <xdr:colOff>1162050</xdr:colOff>
          <xdr:row>17</xdr:row>
          <xdr:rowOff>352425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2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933450</xdr:colOff>
          <xdr:row>18</xdr:row>
          <xdr:rowOff>57150</xdr:rowOff>
        </xdr:from>
        <xdr:to>
          <xdr:col>2</xdr:col>
          <xdr:colOff>1162050</xdr:colOff>
          <xdr:row>18</xdr:row>
          <xdr:rowOff>352425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02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250136</xdr:colOff>
      <xdr:row>0</xdr:row>
      <xdr:rowOff>37272</xdr:rowOff>
    </xdr:from>
    <xdr:to>
      <xdr:col>6</xdr:col>
      <xdr:colOff>569180</xdr:colOff>
      <xdr:row>0</xdr:row>
      <xdr:rowOff>311260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864046" y="37272"/>
          <a:ext cx="959124" cy="27398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91440</xdr:rowOff>
    </xdr:from>
    <xdr:to>
      <xdr:col>3</xdr:col>
      <xdr:colOff>198782</xdr:colOff>
      <xdr:row>0</xdr:row>
      <xdr:rowOff>281940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80160" y="91440"/>
          <a:ext cx="838862" cy="91440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503582</xdr:colOff>
      <xdr:row>0</xdr:row>
      <xdr:rowOff>16564</xdr:rowOff>
    </xdr:from>
    <xdr:to>
      <xdr:col>7</xdr:col>
      <xdr:colOff>162337</xdr:colOff>
      <xdr:row>0</xdr:row>
      <xdr:rowOff>231912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988904" y="16564"/>
          <a:ext cx="937590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349197</xdr:colOff>
      <xdr:row>0</xdr:row>
      <xdr:rowOff>18223</xdr:rowOff>
    </xdr:from>
    <xdr:to>
      <xdr:col>13</xdr:col>
      <xdr:colOff>15240</xdr:colOff>
      <xdr:row>0</xdr:row>
      <xdr:rowOff>297181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788347" y="18223"/>
          <a:ext cx="946203" cy="2789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4</xdr:col>
      <xdr:colOff>112394</xdr:colOff>
      <xdr:row>8</xdr:row>
      <xdr:rowOff>80010</xdr:rowOff>
    </xdr:from>
    <xdr:to>
      <xdr:col>14</xdr:col>
      <xdr:colOff>552450</xdr:colOff>
      <xdr:row>24</xdr:row>
      <xdr:rowOff>99060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</xdr:colOff>
      <xdr:row>0</xdr:row>
      <xdr:rowOff>19050</xdr:rowOff>
    </xdr:from>
    <xdr:to>
      <xdr:col>10</xdr:col>
      <xdr:colOff>389943</xdr:colOff>
      <xdr:row>0</xdr:row>
      <xdr:rowOff>336108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646670" y="19050"/>
          <a:ext cx="946203" cy="3170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3859754</xdr:colOff>
      <xdr:row>0</xdr:row>
      <xdr:rowOff>74855</xdr:rowOff>
    </xdr:from>
    <xdr:to>
      <xdr:col>2</xdr:col>
      <xdr:colOff>4808279</xdr:colOff>
      <xdr:row>1</xdr:row>
      <xdr:rowOff>110802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07704" y="74855"/>
          <a:ext cx="948525" cy="268357"/>
        </a:xfrm>
        <a:prstGeom prst="rect">
          <a:avLst/>
        </a:prstGeom>
        <a:solidFill>
          <a:srgbClr val="A3A3A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0</xdr:col>
      <xdr:colOff>331021</xdr:colOff>
      <xdr:row>4</xdr:row>
      <xdr:rowOff>35859</xdr:rowOff>
    </xdr:from>
    <xdr:to>
      <xdr:col>2</xdr:col>
      <xdr:colOff>4250390</xdr:colOff>
      <xdr:row>22</xdr:row>
      <xdr:rowOff>15913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4621306</xdr:colOff>
      <xdr:row>4</xdr:row>
      <xdr:rowOff>36529</xdr:rowOff>
    </xdr:from>
    <xdr:to>
      <xdr:col>4</xdr:col>
      <xdr:colOff>386155</xdr:colOff>
      <xdr:row>22</xdr:row>
      <xdr:rowOff>35858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4621754</xdr:colOff>
      <xdr:row>22</xdr:row>
      <xdr:rowOff>165847</xdr:rowOff>
    </xdr:from>
    <xdr:to>
      <xdr:col>4</xdr:col>
      <xdr:colOff>439943</xdr:colOff>
      <xdr:row>40</xdr:row>
      <xdr:rowOff>107576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339986</xdr:colOff>
      <xdr:row>22</xdr:row>
      <xdr:rowOff>151952</xdr:rowOff>
    </xdr:from>
    <xdr:to>
      <xdr:col>2</xdr:col>
      <xdr:colOff>4240305</xdr:colOff>
      <xdr:row>40</xdr:row>
      <xdr:rowOff>107577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340659</xdr:colOff>
      <xdr:row>41</xdr:row>
      <xdr:rowOff>22412</xdr:rowOff>
    </xdr:from>
    <xdr:to>
      <xdr:col>2</xdr:col>
      <xdr:colOff>4267200</xdr:colOff>
      <xdr:row>58</xdr:row>
      <xdr:rowOff>147918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4810013</xdr:colOff>
      <xdr:row>0</xdr:row>
      <xdr:rowOff>56925</xdr:rowOff>
    </xdr:from>
    <xdr:to>
      <xdr:col>2</xdr:col>
      <xdr:colOff>5758538</xdr:colOff>
      <xdr:row>1</xdr:row>
      <xdr:rowOff>92872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459084" y="56925"/>
          <a:ext cx="948525" cy="255582"/>
        </a:xfrm>
        <a:prstGeom prst="rect">
          <a:avLst/>
        </a:prstGeom>
        <a:solidFill>
          <a:srgbClr val="A3A3A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0</xdr:col>
      <xdr:colOff>40342</xdr:colOff>
      <xdr:row>5</xdr:row>
      <xdr:rowOff>106009</xdr:rowOff>
    </xdr:from>
    <xdr:to>
      <xdr:col>2</xdr:col>
      <xdr:colOff>2236695</xdr:colOff>
      <xdr:row>21</xdr:row>
      <xdr:rowOff>103096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2281517</xdr:colOff>
      <xdr:row>5</xdr:row>
      <xdr:rowOff>107576</xdr:rowOff>
    </xdr:from>
    <xdr:to>
      <xdr:col>2</xdr:col>
      <xdr:colOff>7135906</xdr:colOff>
      <xdr:row>21</xdr:row>
      <xdr:rowOff>115117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7238050</xdr:colOff>
      <xdr:row>5</xdr:row>
      <xdr:rowOff>131109</xdr:rowOff>
    </xdr:from>
    <xdr:to>
      <xdr:col>4</xdr:col>
      <xdr:colOff>1313329</xdr:colOff>
      <xdr:row>21</xdr:row>
      <xdr:rowOff>93350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358586</xdr:colOff>
      <xdr:row>24</xdr:row>
      <xdr:rowOff>129989</xdr:rowOff>
    </xdr:from>
    <xdr:to>
      <xdr:col>2</xdr:col>
      <xdr:colOff>7463116</xdr:colOff>
      <xdr:row>41</xdr:row>
      <xdr:rowOff>25629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345142</xdr:colOff>
      <xdr:row>43</xdr:row>
      <xdr:rowOff>134469</xdr:rowOff>
    </xdr:from>
    <xdr:to>
      <xdr:col>2</xdr:col>
      <xdr:colOff>4302611</xdr:colOff>
      <xdr:row>60</xdr:row>
      <xdr:rowOff>22410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4535803</xdr:colOff>
      <xdr:row>43</xdr:row>
      <xdr:rowOff>136263</xdr:rowOff>
    </xdr:from>
    <xdr:to>
      <xdr:col>4</xdr:col>
      <xdr:colOff>367327</xdr:colOff>
      <xdr:row>60</xdr:row>
      <xdr:rowOff>40341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277905</xdr:colOff>
      <xdr:row>63</xdr:row>
      <xdr:rowOff>125506</xdr:rowOff>
    </xdr:from>
    <xdr:to>
      <xdr:col>2</xdr:col>
      <xdr:colOff>7400363</xdr:colOff>
      <xdr:row>80</xdr:row>
      <xdr:rowOff>13447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277905</xdr:colOff>
      <xdr:row>82</xdr:row>
      <xdr:rowOff>165848</xdr:rowOff>
    </xdr:from>
    <xdr:to>
      <xdr:col>2</xdr:col>
      <xdr:colOff>7351058</xdr:colOff>
      <xdr:row>99</xdr:row>
      <xdr:rowOff>44823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4600694</xdr:colOff>
      <xdr:row>103</xdr:row>
      <xdr:rowOff>161366</xdr:rowOff>
    </xdr:from>
    <xdr:to>
      <xdr:col>2</xdr:col>
      <xdr:colOff>8771964</xdr:colOff>
      <xdr:row>120</xdr:row>
      <xdr:rowOff>49306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268941</xdr:colOff>
      <xdr:row>103</xdr:row>
      <xdr:rowOff>121024</xdr:rowOff>
    </xdr:from>
    <xdr:to>
      <xdr:col>2</xdr:col>
      <xdr:colOff>4215211</xdr:colOff>
      <xdr:row>120</xdr:row>
      <xdr:rowOff>40340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4580964</xdr:colOff>
      <xdr:row>124</xdr:row>
      <xdr:rowOff>4482</xdr:rowOff>
    </xdr:from>
    <xdr:to>
      <xdr:col>2</xdr:col>
      <xdr:colOff>8803341</xdr:colOff>
      <xdr:row>140</xdr:row>
      <xdr:rowOff>134470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266252</xdr:colOff>
      <xdr:row>123</xdr:row>
      <xdr:rowOff>182432</xdr:rowOff>
    </xdr:from>
    <xdr:to>
      <xdr:col>2</xdr:col>
      <xdr:colOff>4204446</xdr:colOff>
      <xdr:row>140</xdr:row>
      <xdr:rowOff>112058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266022</xdr:colOff>
      <xdr:row>143</xdr:row>
      <xdr:rowOff>169654</xdr:rowOff>
    </xdr:from>
    <xdr:to>
      <xdr:col>2</xdr:col>
      <xdr:colOff>4182035</xdr:colOff>
      <xdr:row>160</xdr:row>
      <xdr:rowOff>80681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4616823</xdr:colOff>
      <xdr:row>144</xdr:row>
      <xdr:rowOff>6946</xdr:rowOff>
    </xdr:from>
    <xdr:to>
      <xdr:col>2</xdr:col>
      <xdr:colOff>8839199</xdr:colOff>
      <xdr:row>160</xdr:row>
      <xdr:rowOff>116542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282389</xdr:colOff>
      <xdr:row>163</xdr:row>
      <xdr:rowOff>125506</xdr:rowOff>
    </xdr:from>
    <xdr:to>
      <xdr:col>2</xdr:col>
      <xdr:colOff>8839200</xdr:colOff>
      <xdr:row>182</xdr:row>
      <xdr:rowOff>97043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0.40101</cdr:x>
      <cdr:y>0.47242</cdr:y>
    </cdr:from>
    <cdr:to>
      <cdr:x>0.53814</cdr:x>
      <cdr:y>0.56551</cdr:y>
    </cdr:to>
    <cdr:sp macro="" textlink="Выручка!$D$52">
      <cdr:nvSpPr>
        <cdr:cNvPr id="2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id="{D5CD58A2-8A69-1132-BBA7-BB9BCDD866C2}"/>
            </a:ext>
          </a:extLst>
        </cdr:cNvPr>
        <cdr:cNvSpPr/>
      </cdr:nvSpPr>
      <cdr:spPr>
        <a:xfrm xmlns:a="http://schemas.openxmlformats.org/drawingml/2006/main">
          <a:off x="1672718" y="1422985"/>
          <a:ext cx="572007" cy="2804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7A0AE41-3C2C-4812-9FF1-B59367CE621A}" type="TxLink">
            <a:rPr lang="en-US" sz="11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/>
            <a:t>930 </a:t>
          </a:fld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0.45119</cdr:x>
      <cdr:y>0.49431</cdr:y>
    </cdr:from>
    <cdr:to>
      <cdr:x>0.58108</cdr:x>
      <cdr:y>0.59465</cdr:y>
    </cdr:to>
    <cdr:sp macro="" textlink="Ресурсы!$D$54">
      <cdr:nvSpPr>
        <cdr:cNvPr id="2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id="{B718F1B8-1317-1A05-FEEA-B32747039B63}"/>
            </a:ext>
          </a:extLst>
        </cdr:cNvPr>
        <cdr:cNvSpPr/>
      </cdr:nvSpPr>
      <cdr:spPr>
        <a:xfrm xmlns:a="http://schemas.openxmlformats.org/drawingml/2006/main">
          <a:off x="1908113" y="1407789"/>
          <a:ext cx="549331" cy="28575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fld id="{0D4DE2B7-09C2-4CB0-B5C0-767B0F16EE74}" type="TxLink">
            <a:rPr lang="en-US" sz="1100" b="1" i="0" u="none" strike="noStrike">
              <a:solidFill>
                <a:sysClr val="windowText" lastClr="000000"/>
              </a:solidFill>
              <a:latin typeface="Calibri"/>
              <a:cs typeface="Calibri"/>
            </a:rPr>
            <a:pPr/>
            <a:t>85,2 </a:t>
          </a:fld>
          <a:endParaRPr lang="ru-RU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0.43533</cdr:x>
      <cdr:y>0.51396</cdr:y>
    </cdr:from>
    <cdr:to>
      <cdr:x>0.59017</cdr:x>
      <cdr:y>0.62884</cdr:y>
    </cdr:to>
    <cdr:sp macro="" textlink="Персонал!$D$29">
      <cdr:nvSpPr>
        <cdr:cNvPr id="2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id="{C46D6E9C-8835-B543-D966-89DEB4A20947}"/>
            </a:ext>
          </a:extLst>
        </cdr:cNvPr>
        <cdr:cNvSpPr/>
      </cdr:nvSpPr>
      <cdr:spPr>
        <a:xfrm xmlns:a="http://schemas.openxmlformats.org/drawingml/2006/main">
          <a:off x="1799590" y="1414780"/>
          <a:ext cx="640080" cy="31623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4682537-9DD8-4AFD-BB96-AD3ACC52F8D5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/>
            <a:t>342 087 </a:t>
          </a:fld>
          <a:endParaRPr lang="ru-RU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150081</xdr:colOff>
      <xdr:row>0</xdr:row>
      <xdr:rowOff>82992</xdr:rowOff>
    </xdr:from>
    <xdr:to>
      <xdr:col>14</xdr:col>
      <xdr:colOff>443450</xdr:colOff>
      <xdr:row>0</xdr:row>
      <xdr:rowOff>298340</xdr:rowOff>
    </xdr:to>
    <xdr:sp macro="" textlink="">
      <xdr:nvSpPr>
        <xdr:cNvPr id="5" name="Прямоугольни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0175351" y="82992"/>
          <a:ext cx="932786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312750</xdr:colOff>
      <xdr:row>0</xdr:row>
      <xdr:rowOff>73715</xdr:rowOff>
    </xdr:from>
    <xdr:to>
      <xdr:col>14</xdr:col>
      <xdr:colOff>621195</xdr:colOff>
      <xdr:row>0</xdr:row>
      <xdr:rowOff>296352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1243640" y="73715"/>
          <a:ext cx="1032345" cy="22263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357809</xdr:colOff>
      <xdr:row>0</xdr:row>
      <xdr:rowOff>43069</xdr:rowOff>
    </xdr:from>
    <xdr:to>
      <xdr:col>14</xdr:col>
      <xdr:colOff>589722</xdr:colOff>
      <xdr:row>0</xdr:row>
      <xdr:rowOff>301487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9485244" y="43069"/>
          <a:ext cx="871330" cy="25841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406347</xdr:colOff>
      <xdr:row>0</xdr:row>
      <xdr:rowOff>33463</xdr:rowOff>
    </xdr:from>
    <xdr:to>
      <xdr:col>11</xdr:col>
      <xdr:colOff>72390</xdr:colOff>
      <xdr:row>0</xdr:row>
      <xdr:rowOff>350521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7580577" y="33463"/>
          <a:ext cx="946203" cy="3170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5</xdr:col>
      <xdr:colOff>32384</xdr:colOff>
      <xdr:row>5</xdr:row>
      <xdr:rowOff>87630</xdr:rowOff>
    </xdr:from>
    <xdr:to>
      <xdr:col>14</xdr:col>
      <xdr:colOff>586740</xdr:colOff>
      <xdr:row>8</xdr:row>
      <xdr:rowOff>647700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3886968</xdr:colOff>
      <xdr:row>0</xdr:row>
      <xdr:rowOff>91184</xdr:rowOff>
    </xdr:from>
    <xdr:to>
      <xdr:col>2</xdr:col>
      <xdr:colOff>4835493</xdr:colOff>
      <xdr:row>1</xdr:row>
      <xdr:rowOff>127131</xdr:rowOff>
    </xdr:to>
    <xdr:sp macro="" textlink="">
      <xdr:nvSpPr>
        <xdr:cNvPr id="21" name="Прямоугольник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6532197" y="91184"/>
          <a:ext cx="948525" cy="269990"/>
        </a:xfrm>
        <a:prstGeom prst="rect">
          <a:avLst/>
        </a:prstGeom>
        <a:solidFill>
          <a:srgbClr val="A3A3A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1</xdr:col>
      <xdr:colOff>381000</xdr:colOff>
      <xdr:row>36</xdr:row>
      <xdr:rowOff>35859</xdr:rowOff>
    </xdr:from>
    <xdr:to>
      <xdr:col>2</xdr:col>
      <xdr:colOff>1358151</xdr:colOff>
      <xdr:row>41</xdr:row>
      <xdr:rowOff>116541</xdr:rowOff>
    </xdr:to>
    <xdr:grpSp>
      <xdr:nvGrpSpPr>
        <xdr:cNvPr id="43" name="Группа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GrpSpPr/>
      </xdr:nvGrpSpPr>
      <xdr:grpSpPr>
        <a:xfrm>
          <a:off x="2223247" y="6512859"/>
          <a:ext cx="1783975" cy="977153"/>
          <a:chOff x="640976" y="959224"/>
          <a:chExt cx="1452283" cy="932329"/>
        </a:xfrm>
        <a:effectLst/>
      </xdr:grpSpPr>
      <xdr:sp macro="" textlink="">
        <xdr:nvSpPr>
          <xdr:cNvPr id="39" name="Прямоугольник: скругленные углы 38">
            <a:extLst>
              <a:ext uri="{FF2B5EF4-FFF2-40B4-BE49-F238E27FC236}">
                <a16:creationId xmlns:a16="http://schemas.microsoft.com/office/drawing/2014/main" id="{00000000-0008-0000-0F00-000027000000}"/>
              </a:ext>
            </a:extLst>
          </xdr:cNvPr>
          <xdr:cNvSpPr/>
        </xdr:nvSpPr>
        <xdr:spPr>
          <a:xfrm>
            <a:off x="640976" y="959224"/>
            <a:ext cx="1452283" cy="932329"/>
          </a:xfrm>
          <a:prstGeom prst="roundRect">
            <a:avLst/>
          </a:prstGeom>
          <a:ln>
            <a:solidFill>
              <a:schemeClr val="bg1">
                <a:lumMod val="9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НДС </a:t>
            </a:r>
            <a:r>
              <a:rPr lang="ru-RU" sz="1100">
                <a:latin typeface="Times New Roman" panose="02020603050405020304" pitchFamily="18" charset="0"/>
                <a:cs typeface="Times New Roman" panose="02020603050405020304" pitchFamily="18" charset="0"/>
              </a:rPr>
              <a:t>(млн.руб.)</a:t>
            </a:r>
          </a:p>
        </xdr:txBody>
      </xdr:sp>
      <xdr:sp macro="" textlink="ИтогТаблицы!C67">
        <xdr:nvSpPr>
          <xdr:cNvPr id="41" name="TextBox 40">
            <a:extLst>
              <a:ext uri="{FF2B5EF4-FFF2-40B4-BE49-F238E27FC236}">
                <a16:creationId xmlns:a16="http://schemas.microsoft.com/office/drawing/2014/main" id="{00000000-0008-0000-0F00-000029000000}"/>
              </a:ext>
            </a:extLst>
          </xdr:cNvPr>
          <xdr:cNvSpPr txBox="1"/>
        </xdr:nvSpPr>
        <xdr:spPr>
          <a:xfrm>
            <a:off x="878541" y="1353671"/>
            <a:ext cx="1030941" cy="3944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C8FAAB3-4E4E-40B6-BE9E-530AECCA8075}" type="TxLink">
              <a:rPr lang="en-US" sz="1800" b="1" i="0" u="none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pPr algn="ctr"/>
              <a:t>151</a:t>
            </a:fld>
            <a:endParaRPr lang="ru-RU" sz="1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1604681</xdr:colOff>
      <xdr:row>36</xdr:row>
      <xdr:rowOff>7365</xdr:rowOff>
    </xdr:from>
    <xdr:to>
      <xdr:col>2</xdr:col>
      <xdr:colOff>3648634</xdr:colOff>
      <xdr:row>41</xdr:row>
      <xdr:rowOff>112061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pSpPr/>
      </xdr:nvGrpSpPr>
      <xdr:grpSpPr>
        <a:xfrm>
          <a:off x="4253752" y="6484365"/>
          <a:ext cx="2043953" cy="1001167"/>
          <a:chOff x="2245979" y="1401376"/>
          <a:chExt cx="1842248" cy="1102659"/>
        </a:xfrm>
        <a:effectLst/>
      </xdr:grpSpPr>
      <xdr:sp macro="" textlink="">
        <xdr:nvSpPr>
          <xdr:cNvPr id="52" name="Прямоугольник: скругленные углы 51">
            <a:extLst>
              <a:ext uri="{FF2B5EF4-FFF2-40B4-BE49-F238E27FC236}">
                <a16:creationId xmlns:a16="http://schemas.microsoft.com/office/drawing/2014/main" id="{00000000-0008-0000-0F00-000034000000}"/>
              </a:ext>
            </a:extLst>
          </xdr:cNvPr>
          <xdr:cNvSpPr/>
        </xdr:nvSpPr>
        <xdr:spPr>
          <a:xfrm>
            <a:off x="2245979" y="1401376"/>
            <a:ext cx="1842248" cy="1102659"/>
          </a:xfrm>
          <a:prstGeom prst="roundRect">
            <a:avLst/>
          </a:prstGeom>
          <a:ln>
            <a:solidFill>
              <a:schemeClr val="bg1">
                <a:lumMod val="9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Страховые взносы </a:t>
            </a:r>
            <a:r>
              <a:rPr lang="ru-RU" sz="1100">
                <a:latin typeface="Times New Roman" panose="02020603050405020304" pitchFamily="18" charset="0"/>
                <a:cs typeface="Times New Roman" panose="02020603050405020304" pitchFamily="18" charset="0"/>
              </a:rPr>
              <a:t>(млн.руб.)</a:t>
            </a:r>
          </a:p>
        </xdr:txBody>
      </xdr:sp>
      <xdr:sp macro="" textlink="ИтогТаблицы!C75">
        <xdr:nvSpPr>
          <xdr:cNvPr id="53" name="TextBox 52">
            <a:extLst>
              <a:ext uri="{FF2B5EF4-FFF2-40B4-BE49-F238E27FC236}">
                <a16:creationId xmlns:a16="http://schemas.microsoft.com/office/drawing/2014/main" id="{00000000-0008-0000-0F00-000035000000}"/>
              </a:ext>
            </a:extLst>
          </xdr:cNvPr>
          <xdr:cNvSpPr txBox="1"/>
        </xdr:nvSpPr>
        <xdr:spPr>
          <a:xfrm>
            <a:off x="2389012" y="2056318"/>
            <a:ext cx="1454001" cy="3356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E9B68CDF-A181-42D6-8C36-3641C4147298}" type="TxLink">
              <a:rPr lang="en-US" sz="1800" b="1" i="0" u="none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pPr algn="ctr"/>
              <a:t>20</a:t>
            </a:fld>
            <a:endParaRPr lang="ru-RU" sz="1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148238</xdr:colOff>
      <xdr:row>3</xdr:row>
      <xdr:rowOff>143436</xdr:rowOff>
    </xdr:from>
    <xdr:to>
      <xdr:col>2</xdr:col>
      <xdr:colOff>3662082</xdr:colOff>
      <xdr:row>24</xdr:row>
      <xdr:rowOff>22412</xdr:rowOff>
    </xdr:to>
    <xdr:graphicFrame macro="">
      <xdr:nvGraphicFramePr>
        <xdr:cNvPr id="57" name="Диаграмма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676835</xdr:colOff>
      <xdr:row>24</xdr:row>
      <xdr:rowOff>161366</xdr:rowOff>
    </xdr:from>
    <xdr:to>
      <xdr:col>2</xdr:col>
      <xdr:colOff>3648635</xdr:colOff>
      <xdr:row>35</xdr:row>
      <xdr:rowOff>89647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179292</xdr:colOff>
      <xdr:row>36</xdr:row>
      <xdr:rowOff>40341</xdr:rowOff>
    </xdr:from>
    <xdr:to>
      <xdr:col>1</xdr:col>
      <xdr:colOff>197222</xdr:colOff>
      <xdr:row>41</xdr:row>
      <xdr:rowOff>80683</xdr:rowOff>
    </xdr:to>
    <xdr:grpSp>
      <xdr:nvGrpSpPr>
        <xdr:cNvPr id="4" name="Группа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pSpPr/>
      </xdr:nvGrpSpPr>
      <xdr:grpSpPr>
        <a:xfrm>
          <a:off x="179292" y="6517341"/>
          <a:ext cx="1860177" cy="936813"/>
          <a:chOff x="640976" y="959225"/>
          <a:chExt cx="1452283" cy="826641"/>
        </a:xfrm>
        <a:effectLst/>
      </xdr:grpSpPr>
      <xdr:sp macro="" textlink="">
        <xdr:nvSpPr>
          <xdr:cNvPr id="5" name="Прямоугольник: скругленные углы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640976" y="959225"/>
            <a:ext cx="1452283" cy="826641"/>
          </a:xfrm>
          <a:prstGeom prst="roundRect">
            <a:avLst/>
          </a:prstGeom>
          <a:ln>
            <a:solidFill>
              <a:schemeClr val="bg1">
                <a:lumMod val="95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lang="ru-RU" sz="1600">
                <a:latin typeface="Times New Roman" panose="02020603050405020304" pitchFamily="18" charset="0"/>
                <a:cs typeface="Times New Roman" panose="02020603050405020304" pitchFamily="18" charset="0"/>
              </a:rPr>
              <a:t>Тамож.пошлины </a:t>
            </a:r>
            <a:r>
              <a:rPr lang="ru-RU" sz="1100">
                <a:latin typeface="Times New Roman" panose="02020603050405020304" pitchFamily="18" charset="0"/>
                <a:cs typeface="Times New Roman" panose="02020603050405020304" pitchFamily="18" charset="0"/>
              </a:rPr>
              <a:t>(млн.руб.)</a:t>
            </a:r>
          </a:p>
        </xdr:txBody>
      </xdr:sp>
      <xdr:sp macro="" textlink="ИтогТаблицы!C67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/>
        </xdr:nvSpPr>
        <xdr:spPr>
          <a:xfrm>
            <a:off x="870098" y="1457472"/>
            <a:ext cx="1039384" cy="29064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endParaRPr lang="ru-RU" sz="18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147918</xdr:colOff>
      <xdr:row>24</xdr:row>
      <xdr:rowOff>134472</xdr:rowOff>
    </xdr:from>
    <xdr:to>
      <xdr:col>2</xdr:col>
      <xdr:colOff>506506</xdr:colOff>
      <xdr:row>35</xdr:row>
      <xdr:rowOff>103094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4002740</xdr:colOff>
      <xdr:row>3</xdr:row>
      <xdr:rowOff>125506</xdr:rowOff>
    </xdr:from>
    <xdr:to>
      <xdr:col>4</xdr:col>
      <xdr:colOff>1183340</xdr:colOff>
      <xdr:row>23</xdr:row>
      <xdr:rowOff>170330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4025152</xdr:colOff>
      <xdr:row>24</xdr:row>
      <xdr:rowOff>170329</xdr:rowOff>
    </xdr:from>
    <xdr:to>
      <xdr:col>4</xdr:col>
      <xdr:colOff>40340</xdr:colOff>
      <xdr:row>42</xdr:row>
      <xdr:rowOff>40341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0.43714</cdr:x>
      <cdr:y>0.44716</cdr:y>
    </cdr:from>
    <cdr:to>
      <cdr:x>0.59997</cdr:x>
      <cdr:y>0.6247</cdr:y>
    </cdr:to>
    <cdr:sp macro="" textlink="НалогСвод!$E$15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0BB6C6E-FB65-5C25-8C5B-EEE12C43DBEC}"/>
            </a:ext>
          </a:extLst>
        </cdr:cNvPr>
        <cdr:cNvSpPr txBox="1"/>
      </cdr:nvSpPr>
      <cdr:spPr>
        <a:xfrm xmlns:a="http://schemas.openxmlformats.org/drawingml/2006/main">
          <a:off x="2694083" y="1671594"/>
          <a:ext cx="1003507" cy="6637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19B431-15EC-4C73-950E-37F833864982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всего: 220,13</a:t>
          </a:fld>
          <a:endParaRPr lang="ru-RU" sz="1600" b="1">
            <a:solidFill>
              <a:sysClr val="windowText" lastClr="000000"/>
            </a:solidFill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0.42232</cdr:x>
      <cdr:y>0.50625</cdr:y>
    </cdr:from>
    <cdr:to>
      <cdr:x>0.60181</cdr:x>
      <cdr:y>0.66437</cdr:y>
    </cdr:to>
    <cdr:sp macro="" textlink="Персонал!$A$51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E7415D5-74E0-FC8F-E32D-394CD2C03372}"/>
            </a:ext>
          </a:extLst>
        </cdr:cNvPr>
        <cdr:cNvSpPr txBox="1"/>
      </cdr:nvSpPr>
      <cdr:spPr>
        <a:xfrm xmlns:a="http://schemas.openxmlformats.org/drawingml/2006/main">
          <a:off x="1255051" y="987097"/>
          <a:ext cx="533408" cy="308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C9CD58F-A355-4177-ACEF-FDFB58CD1FF2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34,1 </a:t>
          </a:fld>
          <a:endParaRPr lang="ru-RU" sz="1200" b="1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0.41282</cdr:x>
      <cdr:y>0.49949</cdr:y>
    </cdr:from>
    <cdr:to>
      <cdr:x>0.56917</cdr:x>
      <cdr:y>0.63964</cdr:y>
    </cdr:to>
    <cdr:sp macro="" textlink="НалПрибыль!$A$27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E7415D5-74E0-FC8F-E32D-394CD2C03372}"/>
            </a:ext>
          </a:extLst>
        </cdr:cNvPr>
        <cdr:cNvSpPr txBox="1"/>
      </cdr:nvSpPr>
      <cdr:spPr>
        <a:xfrm xmlns:a="http://schemas.openxmlformats.org/drawingml/2006/main">
          <a:off x="1241612" y="994073"/>
          <a:ext cx="470257" cy="278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6CDDABC-48EC-4C16-BF9E-C51537E6A896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14,8 </a:t>
          </a:fld>
          <a:endParaRPr lang="ru-RU" sz="1600" b="1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0.44493</cdr:x>
      <cdr:y>0.47343</cdr:y>
    </cdr:from>
    <cdr:to>
      <cdr:x>0.58188</cdr:x>
      <cdr:y>0.58696</cdr:y>
    </cdr:to>
    <cdr:sp macro="" textlink="НалогСвод!$A$22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04BA984-CB11-79B8-0BB7-0C4C05EF6E73}"/>
            </a:ext>
          </a:extLst>
        </cdr:cNvPr>
        <cdr:cNvSpPr txBox="1"/>
      </cdr:nvSpPr>
      <cdr:spPr>
        <a:xfrm xmlns:a="http://schemas.openxmlformats.org/drawingml/2006/main">
          <a:off x="2034210" y="1298712"/>
          <a:ext cx="626165" cy="311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8BBDF34-D99E-4418-B5BC-7FA528844350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115 </a:t>
          </a:fld>
          <a:endParaRPr lang="ru-RU" sz="1400" b="1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152401</xdr:colOff>
      <xdr:row>0</xdr:row>
      <xdr:rowOff>43070</xdr:rowOff>
    </xdr:from>
    <xdr:to>
      <xdr:col>6</xdr:col>
      <xdr:colOff>304799</xdr:colOff>
      <xdr:row>0</xdr:row>
      <xdr:rowOff>324678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4601818" y="43070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465482</xdr:colOff>
      <xdr:row>0</xdr:row>
      <xdr:rowOff>104194</xdr:rowOff>
    </xdr:from>
    <xdr:to>
      <xdr:col>3</xdr:col>
      <xdr:colOff>604297</xdr:colOff>
      <xdr:row>0</xdr:row>
      <xdr:rowOff>319542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380132" y="10419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492152</xdr:colOff>
      <xdr:row>0</xdr:row>
      <xdr:rowOff>62284</xdr:rowOff>
    </xdr:from>
    <xdr:to>
      <xdr:col>3</xdr:col>
      <xdr:colOff>630967</xdr:colOff>
      <xdr:row>0</xdr:row>
      <xdr:rowOff>277632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3258212" y="6228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503582</xdr:colOff>
      <xdr:row>0</xdr:row>
      <xdr:rowOff>16564</xdr:rowOff>
    </xdr:from>
    <xdr:to>
      <xdr:col>7</xdr:col>
      <xdr:colOff>162337</xdr:colOff>
      <xdr:row>0</xdr:row>
      <xdr:rowOff>231912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877462" y="1656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488342</xdr:colOff>
      <xdr:row>0</xdr:row>
      <xdr:rowOff>66094</xdr:rowOff>
    </xdr:from>
    <xdr:to>
      <xdr:col>3</xdr:col>
      <xdr:colOff>627157</xdr:colOff>
      <xdr:row>0</xdr:row>
      <xdr:rowOff>281442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3361082" y="6609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530252</xdr:colOff>
      <xdr:row>0</xdr:row>
      <xdr:rowOff>66094</xdr:rowOff>
    </xdr:from>
    <xdr:to>
      <xdr:col>3</xdr:col>
      <xdr:colOff>669067</xdr:colOff>
      <xdr:row>0</xdr:row>
      <xdr:rowOff>281442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3437282" y="66094"/>
          <a:ext cx="938915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544499</xdr:colOff>
      <xdr:row>0</xdr:row>
      <xdr:rowOff>80672</xdr:rowOff>
    </xdr:from>
    <xdr:to>
      <xdr:col>3</xdr:col>
      <xdr:colOff>705843</xdr:colOff>
      <xdr:row>0</xdr:row>
      <xdr:rowOff>362280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3390569" y="80672"/>
          <a:ext cx="96144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549966</xdr:colOff>
      <xdr:row>0</xdr:row>
      <xdr:rowOff>69573</xdr:rowOff>
    </xdr:from>
    <xdr:to>
      <xdr:col>3</xdr:col>
      <xdr:colOff>708990</xdr:colOff>
      <xdr:row>0</xdr:row>
      <xdr:rowOff>351181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3395870" y="69573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536714</xdr:colOff>
      <xdr:row>0</xdr:row>
      <xdr:rowOff>62947</xdr:rowOff>
    </xdr:from>
    <xdr:to>
      <xdr:col>3</xdr:col>
      <xdr:colOff>695738</xdr:colOff>
      <xdr:row>0</xdr:row>
      <xdr:rowOff>344555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382618" y="62947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82826</xdr:colOff>
      <xdr:row>0</xdr:row>
      <xdr:rowOff>56322</xdr:rowOff>
    </xdr:from>
    <xdr:to>
      <xdr:col>6</xdr:col>
      <xdr:colOff>404190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4701209" y="56322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3362906" y="56322"/>
          <a:ext cx="959124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67257</xdr:colOff>
      <xdr:row>0</xdr:row>
      <xdr:rowOff>25843</xdr:rowOff>
    </xdr:from>
    <xdr:to>
      <xdr:col>6</xdr:col>
      <xdr:colOff>373380</xdr:colOff>
      <xdr:row>0</xdr:row>
      <xdr:rowOff>342901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4681167" y="25843"/>
          <a:ext cx="946203" cy="31705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4</xdr:col>
      <xdr:colOff>119019</xdr:colOff>
      <xdr:row>8</xdr:row>
      <xdr:rowOff>55162</xdr:rowOff>
    </xdr:from>
    <xdr:to>
      <xdr:col>14</xdr:col>
      <xdr:colOff>559903</xdr:colOff>
      <xdr:row>24</xdr:row>
      <xdr:rowOff>74212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0</xdr:row>
      <xdr:rowOff>34290</xdr:rowOff>
    </xdr:from>
    <xdr:to>
      <xdr:col>3</xdr:col>
      <xdr:colOff>712800</xdr:colOff>
      <xdr:row>0</xdr:row>
      <xdr:rowOff>249638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3646170" y="34290"/>
          <a:ext cx="937590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4</xdr:col>
      <xdr:colOff>76200</xdr:colOff>
      <xdr:row>42</xdr:row>
      <xdr:rowOff>26670</xdr:rowOff>
    </xdr:from>
    <xdr:to>
      <xdr:col>14</xdr:col>
      <xdr:colOff>621030</xdr:colOff>
      <xdr:row>59</xdr:row>
      <xdr:rowOff>129540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64770</xdr:colOff>
      <xdr:row>60</xdr:row>
      <xdr:rowOff>68580</xdr:rowOff>
    </xdr:from>
    <xdr:to>
      <xdr:col>15</xdr:col>
      <xdr:colOff>0</xdr:colOff>
      <xdr:row>74</xdr:row>
      <xdr:rowOff>148590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133680</xdr:colOff>
      <xdr:row>0</xdr:row>
      <xdr:rowOff>66095</xdr:rowOff>
    </xdr:from>
    <xdr:to>
      <xdr:col>6</xdr:col>
      <xdr:colOff>442125</xdr:colOff>
      <xdr:row>0</xdr:row>
      <xdr:rowOff>334452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5280990" y="66095"/>
          <a:ext cx="948525" cy="26835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2176670</xdr:colOff>
      <xdr:row>0</xdr:row>
      <xdr:rowOff>43069</xdr:rowOff>
    </xdr:from>
    <xdr:to>
      <xdr:col>2</xdr:col>
      <xdr:colOff>440635</xdr:colOff>
      <xdr:row>0</xdr:row>
      <xdr:rowOff>301487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2831990" y="43069"/>
          <a:ext cx="873815" cy="25841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4</xdr:col>
      <xdr:colOff>91441</xdr:colOff>
      <xdr:row>42</xdr:row>
      <xdr:rowOff>152400</xdr:rowOff>
    </xdr:from>
    <xdr:to>
      <xdr:col>14</xdr:col>
      <xdr:colOff>556260</xdr:colOff>
      <xdr:row>57</xdr:row>
      <xdr:rowOff>152400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74295</xdr:colOff>
      <xdr:row>58</xdr:row>
      <xdr:rowOff>95250</xdr:rowOff>
    </xdr:from>
    <xdr:to>
      <xdr:col>14</xdr:col>
      <xdr:colOff>541020</xdr:colOff>
      <xdr:row>73</xdr:row>
      <xdr:rowOff>95250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510209</xdr:colOff>
      <xdr:row>0</xdr:row>
      <xdr:rowOff>82825</xdr:rowOff>
    </xdr:from>
    <xdr:to>
      <xdr:col>1</xdr:col>
      <xdr:colOff>1447137</xdr:colOff>
      <xdr:row>1</xdr:row>
      <xdr:rowOff>66260</xdr:rowOff>
    </xdr:to>
    <xdr:sp macro="" textlink="">
      <xdr:nvSpPr>
        <xdr:cNvPr id="3" name="Прямоугольни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1351722" y="82825"/>
          <a:ext cx="936928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15</xdr:col>
      <xdr:colOff>59635</xdr:colOff>
      <xdr:row>66</xdr:row>
      <xdr:rowOff>0</xdr:rowOff>
    </xdr:from>
    <xdr:to>
      <xdr:col>19</xdr:col>
      <xdr:colOff>36444</xdr:colOff>
      <xdr:row>69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10114722" y="1298713"/>
          <a:ext cx="2067339" cy="1381539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Примечание:</a:t>
          </a:r>
          <a:endParaRPr lang="en-US" sz="1100" b="1"/>
        </a:p>
        <a:p>
          <a:pPr algn="l"/>
          <a:r>
            <a:rPr lang="ru-RU" sz="1100"/>
            <a:t>По умолчанию</a:t>
          </a:r>
          <a:r>
            <a:rPr lang="ru-RU" sz="1100" baseline="0"/>
            <a:t> 0 (ноль) - ошибки нет;</a:t>
          </a:r>
        </a:p>
        <a:p>
          <a:pPr algn="l"/>
          <a:r>
            <a:rPr lang="ru-RU" sz="1100" baseline="0"/>
            <a:t>Любое число отличное от нуля говорит о наличии ошибки. Переходите по ссылке "источник" в столбце </a:t>
          </a:r>
          <a:r>
            <a:rPr lang="en-US" sz="1100" baseline="0"/>
            <a:t>A</a:t>
          </a:r>
          <a:endParaRPr lang="ru-R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7</xdr:row>
          <xdr:rowOff>95250</xdr:rowOff>
        </xdr:from>
        <xdr:to>
          <xdr:col>16</xdr:col>
          <xdr:colOff>466725</xdr:colOff>
          <xdr:row>7</xdr:row>
          <xdr:rowOff>295275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23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8</xdr:row>
          <xdr:rowOff>95250</xdr:rowOff>
        </xdr:from>
        <xdr:to>
          <xdr:col>16</xdr:col>
          <xdr:colOff>466725</xdr:colOff>
          <xdr:row>8</xdr:row>
          <xdr:rowOff>295275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23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9</xdr:row>
          <xdr:rowOff>95250</xdr:rowOff>
        </xdr:from>
        <xdr:to>
          <xdr:col>16</xdr:col>
          <xdr:colOff>466725</xdr:colOff>
          <xdr:row>9</xdr:row>
          <xdr:rowOff>295275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23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10</xdr:row>
          <xdr:rowOff>95250</xdr:rowOff>
        </xdr:from>
        <xdr:to>
          <xdr:col>16</xdr:col>
          <xdr:colOff>466725</xdr:colOff>
          <xdr:row>10</xdr:row>
          <xdr:rowOff>295275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23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13</xdr:row>
          <xdr:rowOff>95250</xdr:rowOff>
        </xdr:from>
        <xdr:to>
          <xdr:col>16</xdr:col>
          <xdr:colOff>466725</xdr:colOff>
          <xdr:row>13</xdr:row>
          <xdr:rowOff>295275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23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17</xdr:row>
          <xdr:rowOff>19050</xdr:rowOff>
        </xdr:from>
        <xdr:to>
          <xdr:col>16</xdr:col>
          <xdr:colOff>428625</xdr:colOff>
          <xdr:row>17</xdr:row>
          <xdr:rowOff>228600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23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18</xdr:row>
          <xdr:rowOff>19050</xdr:rowOff>
        </xdr:from>
        <xdr:to>
          <xdr:col>16</xdr:col>
          <xdr:colOff>428625</xdr:colOff>
          <xdr:row>18</xdr:row>
          <xdr:rowOff>228600</xdr:rowOff>
        </xdr:to>
        <xdr:sp macro="" textlink="">
          <xdr:nvSpPr>
            <xdr:cNvPr id="43015" name="Check Box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23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19</xdr:row>
          <xdr:rowOff>19050</xdr:rowOff>
        </xdr:from>
        <xdr:to>
          <xdr:col>16</xdr:col>
          <xdr:colOff>428625</xdr:colOff>
          <xdr:row>19</xdr:row>
          <xdr:rowOff>228600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23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20</xdr:row>
          <xdr:rowOff>19050</xdr:rowOff>
        </xdr:from>
        <xdr:to>
          <xdr:col>16</xdr:col>
          <xdr:colOff>428625</xdr:colOff>
          <xdr:row>20</xdr:row>
          <xdr:rowOff>228600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23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21</xdr:row>
          <xdr:rowOff>19050</xdr:rowOff>
        </xdr:from>
        <xdr:to>
          <xdr:col>16</xdr:col>
          <xdr:colOff>428625</xdr:colOff>
          <xdr:row>21</xdr:row>
          <xdr:rowOff>228600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23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24</xdr:row>
          <xdr:rowOff>495300</xdr:rowOff>
        </xdr:from>
        <xdr:to>
          <xdr:col>16</xdr:col>
          <xdr:colOff>419100</xdr:colOff>
          <xdr:row>24</xdr:row>
          <xdr:rowOff>704850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23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27</xdr:row>
          <xdr:rowOff>19050</xdr:rowOff>
        </xdr:from>
        <xdr:to>
          <xdr:col>16</xdr:col>
          <xdr:colOff>428625</xdr:colOff>
          <xdr:row>27</xdr:row>
          <xdr:rowOff>228600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23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30</xdr:row>
          <xdr:rowOff>19050</xdr:rowOff>
        </xdr:from>
        <xdr:to>
          <xdr:col>16</xdr:col>
          <xdr:colOff>428625</xdr:colOff>
          <xdr:row>30</xdr:row>
          <xdr:rowOff>228600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23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33</xdr:row>
          <xdr:rowOff>19050</xdr:rowOff>
        </xdr:from>
        <xdr:to>
          <xdr:col>16</xdr:col>
          <xdr:colOff>428625</xdr:colOff>
          <xdr:row>33</xdr:row>
          <xdr:rowOff>228600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23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39</xdr:row>
          <xdr:rowOff>190500</xdr:rowOff>
        </xdr:from>
        <xdr:to>
          <xdr:col>16</xdr:col>
          <xdr:colOff>409575</xdr:colOff>
          <xdr:row>39</xdr:row>
          <xdr:rowOff>400050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23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40</xdr:row>
          <xdr:rowOff>190500</xdr:rowOff>
        </xdr:from>
        <xdr:to>
          <xdr:col>16</xdr:col>
          <xdr:colOff>409575</xdr:colOff>
          <xdr:row>40</xdr:row>
          <xdr:rowOff>400050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23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44</xdr:row>
          <xdr:rowOff>47625</xdr:rowOff>
        </xdr:from>
        <xdr:to>
          <xdr:col>16</xdr:col>
          <xdr:colOff>438150</xdr:colOff>
          <xdr:row>44</xdr:row>
          <xdr:rowOff>257175</xdr:rowOff>
        </xdr:to>
        <xdr:sp macro="" textlink="">
          <xdr:nvSpPr>
            <xdr:cNvPr id="43026" name="Check Box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23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45</xdr:row>
          <xdr:rowOff>47625</xdr:rowOff>
        </xdr:from>
        <xdr:to>
          <xdr:col>16</xdr:col>
          <xdr:colOff>438150</xdr:colOff>
          <xdr:row>45</xdr:row>
          <xdr:rowOff>257175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23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46</xdr:row>
          <xdr:rowOff>47625</xdr:rowOff>
        </xdr:from>
        <xdr:to>
          <xdr:col>16</xdr:col>
          <xdr:colOff>438150</xdr:colOff>
          <xdr:row>46</xdr:row>
          <xdr:rowOff>257175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23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47</xdr:row>
          <xdr:rowOff>47625</xdr:rowOff>
        </xdr:from>
        <xdr:to>
          <xdr:col>16</xdr:col>
          <xdr:colOff>438150</xdr:colOff>
          <xdr:row>47</xdr:row>
          <xdr:rowOff>257175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23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48</xdr:row>
          <xdr:rowOff>47625</xdr:rowOff>
        </xdr:from>
        <xdr:to>
          <xdr:col>16</xdr:col>
          <xdr:colOff>438150</xdr:colOff>
          <xdr:row>48</xdr:row>
          <xdr:rowOff>257175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23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49</xdr:row>
          <xdr:rowOff>47625</xdr:rowOff>
        </xdr:from>
        <xdr:to>
          <xdr:col>16</xdr:col>
          <xdr:colOff>438150</xdr:colOff>
          <xdr:row>49</xdr:row>
          <xdr:rowOff>257175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23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52</xdr:row>
          <xdr:rowOff>47625</xdr:rowOff>
        </xdr:from>
        <xdr:to>
          <xdr:col>16</xdr:col>
          <xdr:colOff>438150</xdr:colOff>
          <xdr:row>52</xdr:row>
          <xdr:rowOff>257175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23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55</xdr:row>
          <xdr:rowOff>47625</xdr:rowOff>
        </xdr:from>
        <xdr:to>
          <xdr:col>16</xdr:col>
          <xdr:colOff>438150</xdr:colOff>
          <xdr:row>55</xdr:row>
          <xdr:rowOff>257175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23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58</xdr:row>
          <xdr:rowOff>47625</xdr:rowOff>
        </xdr:from>
        <xdr:to>
          <xdr:col>16</xdr:col>
          <xdr:colOff>438150</xdr:colOff>
          <xdr:row>58</xdr:row>
          <xdr:rowOff>257175</xdr:rowOff>
        </xdr:to>
        <xdr:sp macro="" textlink="">
          <xdr:nvSpPr>
            <xdr:cNvPr id="43036" name="Check Box 28" hidden="1">
              <a:extLst>
                <a:ext uri="{63B3BB69-23CF-44E3-9099-C40C66FF867C}">
                  <a14:compatExt spid="_x0000_s43036"/>
                </a:ext>
                <a:ext uri="{FF2B5EF4-FFF2-40B4-BE49-F238E27FC236}">
                  <a16:creationId xmlns:a16="http://schemas.microsoft.com/office/drawing/2014/main" id="{00000000-0008-0000-2300-00001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225286</xdr:colOff>
      <xdr:row>0</xdr:row>
      <xdr:rowOff>139148</xdr:rowOff>
    </xdr:from>
    <xdr:to>
      <xdr:col>2</xdr:col>
      <xdr:colOff>1162876</xdr:colOff>
      <xdr:row>1</xdr:row>
      <xdr:rowOff>122583</xdr:rowOff>
    </xdr:to>
    <xdr:sp macro="" textlink="">
      <xdr:nvSpPr>
        <xdr:cNvPr id="4" name="Прямоугольни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/>
      </xdr:nvSpPr>
      <xdr:spPr>
        <a:xfrm>
          <a:off x="5145156" y="139148"/>
          <a:ext cx="937590" cy="21534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516836</xdr:colOff>
      <xdr:row>0</xdr:row>
      <xdr:rowOff>56322</xdr:rowOff>
    </xdr:from>
    <xdr:to>
      <xdr:col>3</xdr:col>
      <xdr:colOff>675860</xdr:colOff>
      <xdr:row>0</xdr:row>
      <xdr:rowOff>337930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3362740" y="56322"/>
          <a:ext cx="960781" cy="28160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xdr:twoCellAnchor>
    <xdr:from>
      <xdr:col>1</xdr:col>
      <xdr:colOff>159025</xdr:colOff>
      <xdr:row>6</xdr:row>
      <xdr:rowOff>79513</xdr:rowOff>
    </xdr:from>
    <xdr:to>
      <xdr:col>2</xdr:col>
      <xdr:colOff>639417</xdr:colOff>
      <xdr:row>9</xdr:row>
      <xdr:rowOff>135835</xdr:rowOff>
    </xdr:to>
    <xdr:sp macro="" textlink="">
      <xdr:nvSpPr>
        <xdr:cNvPr id="3" name="Прямоугольник: скругленные углы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1000538" y="1497496"/>
          <a:ext cx="2484783" cy="602974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</a:rPr>
            <a:t> Шаблон листа.</a:t>
          </a:r>
          <a:r>
            <a:rPr lang="ru-RU" sz="1100" baseline="0">
              <a:solidFill>
                <a:sysClr val="windowText" lastClr="000000"/>
              </a:solidFill>
            </a:rPr>
            <a:t> Предлагаю не удалять: пригодится.</a:t>
          </a:r>
          <a:endParaRPr lang="ru-RU" sz="1100">
            <a:solidFill>
              <a:sysClr val="windowText" lastClr="000000"/>
            </a:solidFill>
          </a:endParaRPr>
        </a:p>
        <a:p>
          <a:pPr algn="l"/>
          <a:endParaRPr lang="ru-RU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215512</xdr:colOff>
      <xdr:row>21</xdr:row>
      <xdr:rowOff>64273</xdr:rowOff>
    </xdr:from>
    <xdr:to>
      <xdr:col>16</xdr:col>
      <xdr:colOff>489170</xdr:colOff>
      <xdr:row>21</xdr:row>
      <xdr:rowOff>131777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CxnSpPr>
          <a:stCxn id="71" idx="2"/>
          <a:endCxn id="75" idx="0"/>
        </xdr:cNvCxnSpPr>
      </xdr:nvCxnSpPr>
      <xdr:spPr>
        <a:xfrm flipH="1" flipV="1">
          <a:off x="5282812" y="3954283"/>
          <a:ext cx="5394298" cy="67504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145773</xdr:colOff>
      <xdr:row>2</xdr:row>
      <xdr:rowOff>119270</xdr:rowOff>
    </xdr:from>
    <xdr:to>
      <xdr:col>9</xdr:col>
      <xdr:colOff>612914</xdr:colOff>
      <xdr:row>6</xdr:row>
      <xdr:rowOff>43070</xdr:rowOff>
    </xdr:to>
    <xdr:sp macro="" textlink="">
      <xdr:nvSpPr>
        <xdr:cNvPr id="4" name="Прямоугольник: один усеченный угол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/>
      </xdr:nvSpPr>
      <xdr:spPr>
        <a:xfrm>
          <a:off x="5214730" y="533400"/>
          <a:ext cx="1106558" cy="652670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Макро</a:t>
          </a:r>
        </a:p>
      </xdr:txBody>
    </xdr:sp>
    <xdr:clientData/>
  </xdr:twoCellAnchor>
  <xdr:twoCellAnchor>
    <xdr:from>
      <xdr:col>10</xdr:col>
      <xdr:colOff>86139</xdr:colOff>
      <xdr:row>2</xdr:row>
      <xdr:rowOff>139149</xdr:rowOff>
    </xdr:from>
    <xdr:to>
      <xdr:col>11</xdr:col>
      <xdr:colOff>553279</xdr:colOff>
      <xdr:row>6</xdr:row>
      <xdr:rowOff>62949</xdr:rowOff>
    </xdr:to>
    <xdr:sp macro="" textlink="">
      <xdr:nvSpPr>
        <xdr:cNvPr id="7" name="Прямоугольник: один усеченный угол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SpPr/>
      </xdr:nvSpPr>
      <xdr:spPr>
        <a:xfrm>
          <a:off x="6433930" y="553279"/>
          <a:ext cx="1106558" cy="652670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Исходные данные</a:t>
          </a:r>
        </a:p>
      </xdr:txBody>
    </xdr:sp>
    <xdr:clientData/>
  </xdr:twoCellAnchor>
  <xdr:twoCellAnchor>
    <xdr:from>
      <xdr:col>4</xdr:col>
      <xdr:colOff>553278</xdr:colOff>
      <xdr:row>11</xdr:row>
      <xdr:rowOff>76200</xdr:rowOff>
    </xdr:from>
    <xdr:to>
      <xdr:col>6</xdr:col>
      <xdr:colOff>496957</xdr:colOff>
      <xdr:row>14</xdr:row>
      <xdr:rowOff>106017</xdr:rowOff>
    </xdr:to>
    <xdr:sp macro="" textlink="">
      <xdr:nvSpPr>
        <xdr:cNvPr id="8" name="Прямоугольник: один усеченный угол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SpPr/>
      </xdr:nvSpPr>
      <xdr:spPr>
        <a:xfrm>
          <a:off x="3064565" y="213028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Инвестиции</a:t>
          </a:r>
        </a:p>
      </xdr:txBody>
    </xdr:sp>
    <xdr:clientData/>
  </xdr:twoCellAnchor>
  <xdr:twoCellAnchor>
    <xdr:from>
      <xdr:col>5</xdr:col>
      <xdr:colOff>525118</xdr:colOff>
      <xdr:row>6</xdr:row>
      <xdr:rowOff>43070</xdr:rowOff>
    </xdr:from>
    <xdr:to>
      <xdr:col>9</xdr:col>
      <xdr:colOff>59635</xdr:colOff>
      <xdr:row>11</xdr:row>
      <xdr:rowOff>76200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CxnSpPr>
          <a:stCxn id="4" idx="1"/>
          <a:endCxn id="8" idx="3"/>
        </xdr:cNvCxnSpPr>
      </xdr:nvCxnSpPr>
      <xdr:spPr>
        <a:xfrm flipH="1">
          <a:off x="3675822" y="1186070"/>
          <a:ext cx="2092187" cy="944217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525118</xdr:colOff>
      <xdr:row>6</xdr:row>
      <xdr:rowOff>62949</xdr:rowOff>
    </xdr:from>
    <xdr:to>
      <xdr:col>11</xdr:col>
      <xdr:colOff>0</xdr:colOff>
      <xdr:row>11</xdr:row>
      <xdr:rowOff>76200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00000000-0008-0000-2600-00000D000000}"/>
            </a:ext>
          </a:extLst>
        </xdr:cNvPr>
        <xdr:cNvCxnSpPr>
          <a:stCxn id="7" idx="1"/>
          <a:endCxn id="8" idx="3"/>
        </xdr:cNvCxnSpPr>
      </xdr:nvCxnSpPr>
      <xdr:spPr>
        <a:xfrm flipH="1">
          <a:off x="3675822" y="1205949"/>
          <a:ext cx="3311387" cy="924338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99391</xdr:colOff>
      <xdr:row>11</xdr:row>
      <xdr:rowOff>59635</xdr:rowOff>
    </xdr:from>
    <xdr:to>
      <xdr:col>9</xdr:col>
      <xdr:colOff>43070</xdr:colOff>
      <xdr:row>14</xdr:row>
      <xdr:rowOff>89452</xdr:rowOff>
    </xdr:to>
    <xdr:sp macro="" textlink="">
      <xdr:nvSpPr>
        <xdr:cNvPr id="18" name="Прямоугольник: один усеченный угол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600-000012000000}"/>
            </a:ext>
          </a:extLst>
        </xdr:cNvPr>
        <xdr:cNvSpPr/>
      </xdr:nvSpPr>
      <xdr:spPr>
        <a:xfrm>
          <a:off x="4528930" y="2113722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Финансы</a:t>
          </a:r>
        </a:p>
      </xdr:txBody>
    </xdr:sp>
    <xdr:clientData/>
  </xdr:twoCellAnchor>
  <xdr:twoCellAnchor>
    <xdr:from>
      <xdr:col>9</xdr:col>
      <xdr:colOff>337930</xdr:colOff>
      <xdr:row>11</xdr:row>
      <xdr:rowOff>76200</xdr:rowOff>
    </xdr:from>
    <xdr:to>
      <xdr:col>11</xdr:col>
      <xdr:colOff>281609</xdr:colOff>
      <xdr:row>14</xdr:row>
      <xdr:rowOff>106017</xdr:rowOff>
    </xdr:to>
    <xdr:sp macro="" textlink="">
      <xdr:nvSpPr>
        <xdr:cNvPr id="19" name="Прямоугольник: один усеченный угол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600-000013000000}"/>
            </a:ext>
          </a:extLst>
        </xdr:cNvPr>
        <xdr:cNvSpPr/>
      </xdr:nvSpPr>
      <xdr:spPr>
        <a:xfrm>
          <a:off x="6046304" y="213028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Продажи</a:t>
          </a:r>
        </a:p>
      </xdr:txBody>
    </xdr:sp>
    <xdr:clientData/>
  </xdr:twoCellAnchor>
  <xdr:twoCellAnchor>
    <xdr:from>
      <xdr:col>16</xdr:col>
      <xdr:colOff>231912</xdr:colOff>
      <xdr:row>11</xdr:row>
      <xdr:rowOff>82826</xdr:rowOff>
    </xdr:from>
    <xdr:to>
      <xdr:col>18</xdr:col>
      <xdr:colOff>175592</xdr:colOff>
      <xdr:row>14</xdr:row>
      <xdr:rowOff>112643</xdr:rowOff>
    </xdr:to>
    <xdr:sp macro="" textlink="">
      <xdr:nvSpPr>
        <xdr:cNvPr id="22" name="Прямоугольник: один усеченный угол 21">
          <a:extLst>
            <a:ext uri="{FF2B5EF4-FFF2-40B4-BE49-F238E27FC236}">
              <a16:creationId xmlns:a16="http://schemas.microsoft.com/office/drawing/2014/main" id="{00000000-0008-0000-2600-000016000000}"/>
            </a:ext>
          </a:extLst>
        </xdr:cNvPr>
        <xdr:cNvSpPr/>
      </xdr:nvSpPr>
      <xdr:spPr>
        <a:xfrm>
          <a:off x="10416208" y="2136913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Ресурсы</a:t>
          </a:r>
        </a:p>
      </xdr:txBody>
    </xdr:sp>
    <xdr:clientData/>
  </xdr:twoCellAnchor>
  <xdr:twoCellAnchor>
    <xdr:from>
      <xdr:col>8</xdr:col>
      <xdr:colOff>71230</xdr:colOff>
      <xdr:row>6</xdr:row>
      <xdr:rowOff>43070</xdr:rowOff>
    </xdr:from>
    <xdr:to>
      <xdr:col>9</xdr:col>
      <xdr:colOff>59635</xdr:colOff>
      <xdr:row>11</xdr:row>
      <xdr:rowOff>59635</xdr:rowOff>
    </xdr:to>
    <xdr:cxnSp macro="">
      <xdr:nvCxnSpPr>
        <xdr:cNvPr id="25" name="Прямая со стрелкой 24">
          <a:extLst>
            <a:ext uri="{FF2B5EF4-FFF2-40B4-BE49-F238E27FC236}">
              <a16:creationId xmlns:a16="http://schemas.microsoft.com/office/drawing/2014/main" id="{00000000-0008-0000-2600-000019000000}"/>
            </a:ext>
          </a:extLst>
        </xdr:cNvPr>
        <xdr:cNvCxnSpPr>
          <a:stCxn id="4" idx="1"/>
          <a:endCxn id="18" idx="3"/>
        </xdr:cNvCxnSpPr>
      </xdr:nvCxnSpPr>
      <xdr:spPr>
        <a:xfrm flipH="1">
          <a:off x="5140187" y="1186070"/>
          <a:ext cx="627822" cy="927652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59635</xdr:colOff>
      <xdr:row>6</xdr:row>
      <xdr:rowOff>43070</xdr:rowOff>
    </xdr:from>
    <xdr:to>
      <xdr:col>10</xdr:col>
      <xdr:colOff>309770</xdr:colOff>
      <xdr:row>11</xdr:row>
      <xdr:rowOff>76200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00000000-0008-0000-2600-00001A000000}"/>
            </a:ext>
          </a:extLst>
        </xdr:cNvPr>
        <xdr:cNvCxnSpPr>
          <a:stCxn id="4" idx="1"/>
          <a:endCxn id="19" idx="3"/>
        </xdr:cNvCxnSpPr>
      </xdr:nvCxnSpPr>
      <xdr:spPr>
        <a:xfrm>
          <a:off x="5768009" y="1186070"/>
          <a:ext cx="889552" cy="944217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59304</xdr:colOff>
      <xdr:row>6</xdr:row>
      <xdr:rowOff>43070</xdr:rowOff>
    </xdr:from>
    <xdr:to>
      <xdr:col>12</xdr:col>
      <xdr:colOff>452893</xdr:colOff>
      <xdr:row>11</xdr:row>
      <xdr:rowOff>112975</xdr:rowOff>
    </xdr:to>
    <xdr:cxnSp macro="">
      <xdr:nvCxnSpPr>
        <xdr:cNvPr id="27" name="Прямая со стрелкой 26">
          <a:extLst>
            <a:ext uri="{FF2B5EF4-FFF2-40B4-BE49-F238E27FC236}">
              <a16:creationId xmlns:a16="http://schemas.microsoft.com/office/drawing/2014/main" id="{00000000-0008-0000-2600-00001B000000}"/>
            </a:ext>
          </a:extLst>
        </xdr:cNvPr>
        <xdr:cNvCxnSpPr>
          <a:stCxn id="4" idx="1"/>
          <a:endCxn id="20" idx="3"/>
        </xdr:cNvCxnSpPr>
      </xdr:nvCxnSpPr>
      <xdr:spPr>
        <a:xfrm>
          <a:off x="5766684" y="1189880"/>
          <a:ext cx="2313829" cy="984305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59304</xdr:colOff>
      <xdr:row>6</xdr:row>
      <xdr:rowOff>43070</xdr:rowOff>
    </xdr:from>
    <xdr:to>
      <xdr:col>15</xdr:col>
      <xdr:colOff>66592</xdr:colOff>
      <xdr:row>11</xdr:row>
      <xdr:rowOff>115294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00000000-0008-0000-2600-00001C000000}"/>
            </a:ext>
          </a:extLst>
        </xdr:cNvPr>
        <xdr:cNvCxnSpPr>
          <a:stCxn id="4" idx="1"/>
          <a:endCxn id="21" idx="3"/>
        </xdr:cNvCxnSpPr>
      </xdr:nvCxnSpPr>
      <xdr:spPr>
        <a:xfrm>
          <a:off x="5766684" y="1189880"/>
          <a:ext cx="3847768" cy="986624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59635</xdr:colOff>
      <xdr:row>6</xdr:row>
      <xdr:rowOff>43070</xdr:rowOff>
    </xdr:from>
    <xdr:to>
      <xdr:col>17</xdr:col>
      <xdr:colOff>203752</xdr:colOff>
      <xdr:row>11</xdr:row>
      <xdr:rowOff>82826</xdr:rowOff>
    </xdr:to>
    <xdr:cxnSp macro="">
      <xdr:nvCxnSpPr>
        <xdr:cNvPr id="29" name="Прямая со стрелкой 28">
          <a:extLst>
            <a:ext uri="{FF2B5EF4-FFF2-40B4-BE49-F238E27FC236}">
              <a16:creationId xmlns:a16="http://schemas.microsoft.com/office/drawing/2014/main" id="{00000000-0008-0000-2600-00001D000000}"/>
            </a:ext>
          </a:extLst>
        </xdr:cNvPr>
        <xdr:cNvCxnSpPr>
          <a:stCxn id="4" idx="1"/>
          <a:endCxn id="22" idx="3"/>
        </xdr:cNvCxnSpPr>
      </xdr:nvCxnSpPr>
      <xdr:spPr>
        <a:xfrm>
          <a:off x="5768009" y="1186070"/>
          <a:ext cx="5259456" cy="950843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71230</xdr:colOff>
      <xdr:row>6</xdr:row>
      <xdr:rowOff>62949</xdr:rowOff>
    </xdr:from>
    <xdr:to>
      <xdr:col>11</xdr:col>
      <xdr:colOff>0</xdr:colOff>
      <xdr:row>11</xdr:row>
      <xdr:rowOff>59635</xdr:rowOff>
    </xdr:to>
    <xdr:cxnSp macro="">
      <xdr:nvCxnSpPr>
        <xdr:cNvPr id="30" name="Прямая со стрелкой 29">
          <a:extLst>
            <a:ext uri="{FF2B5EF4-FFF2-40B4-BE49-F238E27FC236}">
              <a16:creationId xmlns:a16="http://schemas.microsoft.com/office/drawing/2014/main" id="{00000000-0008-0000-2600-00001E000000}"/>
            </a:ext>
          </a:extLst>
        </xdr:cNvPr>
        <xdr:cNvCxnSpPr>
          <a:stCxn id="7" idx="1"/>
          <a:endCxn id="18" idx="3"/>
        </xdr:cNvCxnSpPr>
      </xdr:nvCxnSpPr>
      <xdr:spPr>
        <a:xfrm flipH="1">
          <a:off x="5140187" y="1205949"/>
          <a:ext cx="1847022" cy="907773"/>
        </a:xfrm>
        <a:prstGeom prst="straightConnector1">
          <a:avLst/>
        </a:prstGeom>
        <a:ln w="12700" cap="rnd">
          <a:solidFill>
            <a:schemeClr val="accent5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309770</xdr:colOff>
      <xdr:row>6</xdr:row>
      <xdr:rowOff>62949</xdr:rowOff>
    </xdr:from>
    <xdr:to>
      <xdr:col>10</xdr:col>
      <xdr:colOff>639749</xdr:colOff>
      <xdr:row>11</xdr:row>
      <xdr:rowOff>76200</xdr:rowOff>
    </xdr:to>
    <xdr:cxnSp macro="">
      <xdr:nvCxnSpPr>
        <xdr:cNvPr id="31" name="Прямая со стрелкой 30">
          <a:extLst>
            <a:ext uri="{FF2B5EF4-FFF2-40B4-BE49-F238E27FC236}">
              <a16:creationId xmlns:a16="http://schemas.microsoft.com/office/drawing/2014/main" id="{00000000-0008-0000-2600-00001F000000}"/>
            </a:ext>
          </a:extLst>
        </xdr:cNvPr>
        <xdr:cNvCxnSpPr>
          <a:stCxn id="7" idx="1"/>
          <a:endCxn id="19" idx="3"/>
        </xdr:cNvCxnSpPr>
      </xdr:nvCxnSpPr>
      <xdr:spPr>
        <a:xfrm flipH="1">
          <a:off x="6657230" y="1209759"/>
          <a:ext cx="329979" cy="927651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639749</xdr:colOff>
      <xdr:row>6</xdr:row>
      <xdr:rowOff>62949</xdr:rowOff>
    </xdr:from>
    <xdr:to>
      <xdr:col>12</xdr:col>
      <xdr:colOff>452893</xdr:colOff>
      <xdr:row>11</xdr:row>
      <xdr:rowOff>112975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id="{00000000-0008-0000-2600-00002E000000}"/>
            </a:ext>
          </a:extLst>
        </xdr:cNvPr>
        <xdr:cNvCxnSpPr>
          <a:stCxn id="7" idx="1"/>
          <a:endCxn id="20" idx="3"/>
        </xdr:cNvCxnSpPr>
      </xdr:nvCxnSpPr>
      <xdr:spPr>
        <a:xfrm>
          <a:off x="6987209" y="1209759"/>
          <a:ext cx="1093304" cy="964426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62949</xdr:rowOff>
    </xdr:from>
    <xdr:to>
      <xdr:col>17</xdr:col>
      <xdr:colOff>203752</xdr:colOff>
      <xdr:row>11</xdr:row>
      <xdr:rowOff>82826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id="{00000000-0008-0000-2600-00002F000000}"/>
            </a:ext>
          </a:extLst>
        </xdr:cNvPr>
        <xdr:cNvCxnSpPr>
          <a:stCxn id="7" idx="1"/>
          <a:endCxn id="22" idx="3"/>
        </xdr:cNvCxnSpPr>
      </xdr:nvCxnSpPr>
      <xdr:spPr>
        <a:xfrm>
          <a:off x="6987209" y="1205949"/>
          <a:ext cx="4040256" cy="930964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72886</xdr:colOff>
      <xdr:row>17</xdr:row>
      <xdr:rowOff>168966</xdr:rowOff>
    </xdr:from>
    <xdr:to>
      <xdr:col>3</xdr:col>
      <xdr:colOff>493643</xdr:colOff>
      <xdr:row>21</xdr:row>
      <xdr:rowOff>16565</xdr:rowOff>
    </xdr:to>
    <xdr:sp macro="" textlink="">
      <xdr:nvSpPr>
        <xdr:cNvPr id="66" name="Прямоугольник: один усеченный угол 6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600-000042000000}"/>
            </a:ext>
          </a:extLst>
        </xdr:cNvPr>
        <xdr:cNvSpPr/>
      </xdr:nvSpPr>
      <xdr:spPr>
        <a:xfrm>
          <a:off x="1142999" y="331635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Общепроизвод. расходы</a:t>
          </a:r>
        </a:p>
      </xdr:txBody>
    </xdr:sp>
    <xdr:clientData/>
  </xdr:twoCellAnchor>
  <xdr:twoCellAnchor>
    <xdr:from>
      <xdr:col>2</xdr:col>
      <xdr:colOff>59634</xdr:colOff>
      <xdr:row>22</xdr:row>
      <xdr:rowOff>19879</xdr:rowOff>
    </xdr:from>
    <xdr:to>
      <xdr:col>3</xdr:col>
      <xdr:colOff>480391</xdr:colOff>
      <xdr:row>25</xdr:row>
      <xdr:rowOff>49696</xdr:rowOff>
    </xdr:to>
    <xdr:sp macro="" textlink="">
      <xdr:nvSpPr>
        <xdr:cNvPr id="67" name="Прямоугольник: один усеченный угол 6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2600-000043000000}"/>
            </a:ext>
          </a:extLst>
        </xdr:cNvPr>
        <xdr:cNvSpPr/>
      </xdr:nvSpPr>
      <xdr:spPr>
        <a:xfrm>
          <a:off x="1129747" y="4078357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Адм.-хоз. расходы</a:t>
          </a:r>
        </a:p>
      </xdr:txBody>
    </xdr:sp>
    <xdr:clientData/>
  </xdr:twoCellAnchor>
  <xdr:twoCellAnchor>
    <xdr:from>
      <xdr:col>2</xdr:col>
      <xdr:colOff>92764</xdr:colOff>
      <xdr:row>26</xdr:row>
      <xdr:rowOff>162340</xdr:rowOff>
    </xdr:from>
    <xdr:to>
      <xdr:col>3</xdr:col>
      <xdr:colOff>513521</xdr:colOff>
      <xdr:row>30</xdr:row>
      <xdr:rowOff>9940</xdr:rowOff>
    </xdr:to>
    <xdr:sp macro="" textlink="">
      <xdr:nvSpPr>
        <xdr:cNvPr id="68" name="Прямоугольник: один усеченный угол 6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600-000044000000}"/>
            </a:ext>
          </a:extLst>
        </xdr:cNvPr>
        <xdr:cNvSpPr/>
      </xdr:nvSpPr>
      <xdr:spPr>
        <a:xfrm>
          <a:off x="1162877" y="4949688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Прочие доходы</a:t>
          </a:r>
        </a:p>
      </xdr:txBody>
    </xdr:sp>
    <xdr:clientData/>
  </xdr:twoCellAnchor>
  <xdr:twoCellAnchor>
    <xdr:from>
      <xdr:col>2</xdr:col>
      <xdr:colOff>92765</xdr:colOff>
      <xdr:row>32</xdr:row>
      <xdr:rowOff>13253</xdr:rowOff>
    </xdr:from>
    <xdr:to>
      <xdr:col>3</xdr:col>
      <xdr:colOff>513522</xdr:colOff>
      <xdr:row>35</xdr:row>
      <xdr:rowOff>43070</xdr:rowOff>
    </xdr:to>
    <xdr:sp macro="" textlink="">
      <xdr:nvSpPr>
        <xdr:cNvPr id="69" name="Прямоугольник: один усеченный угол 6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600-000045000000}"/>
            </a:ext>
          </a:extLst>
        </xdr:cNvPr>
        <xdr:cNvSpPr/>
      </xdr:nvSpPr>
      <xdr:spPr>
        <a:xfrm>
          <a:off x="1162878" y="5893905"/>
          <a:ext cx="1222514" cy="576469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Прочие Расходы</a:t>
          </a:r>
        </a:p>
      </xdr:txBody>
    </xdr:sp>
    <xdr:clientData/>
  </xdr:twoCellAnchor>
  <xdr:twoCellAnchor>
    <xdr:from>
      <xdr:col>17</xdr:col>
      <xdr:colOff>160350</xdr:colOff>
      <xdr:row>17</xdr:row>
      <xdr:rowOff>84153</xdr:rowOff>
    </xdr:from>
    <xdr:to>
      <xdr:col>19</xdr:col>
      <xdr:colOff>114300</xdr:colOff>
      <xdr:row>19</xdr:row>
      <xdr:rowOff>106680</xdr:rowOff>
    </xdr:to>
    <xdr:sp macro="" textlink="">
      <xdr:nvSpPr>
        <xdr:cNvPr id="70" name="Прямоугольник: один усеченный угол 6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2600-000046000000}"/>
            </a:ext>
          </a:extLst>
        </xdr:cNvPr>
        <xdr:cNvSpPr/>
      </xdr:nvSpPr>
      <xdr:spPr>
        <a:xfrm>
          <a:off x="10988370" y="3242643"/>
          <a:ext cx="1234110" cy="388287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НДС</a:t>
          </a:r>
        </a:p>
      </xdr:txBody>
    </xdr:sp>
    <xdr:clientData/>
  </xdr:twoCellAnchor>
  <xdr:twoCellAnchor>
    <xdr:from>
      <xdr:col>16</xdr:col>
      <xdr:colOff>489170</xdr:colOff>
      <xdr:row>20</xdr:row>
      <xdr:rowOff>73054</xdr:rowOff>
    </xdr:from>
    <xdr:to>
      <xdr:col>18</xdr:col>
      <xdr:colOff>443120</xdr:colOff>
      <xdr:row>23</xdr:row>
      <xdr:rowOff>7620</xdr:rowOff>
    </xdr:to>
    <xdr:sp macro="" textlink="">
      <xdr:nvSpPr>
        <xdr:cNvPr id="71" name="Прямоугольник: один усеченный угол 7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2600-000047000000}"/>
            </a:ext>
          </a:extLst>
        </xdr:cNvPr>
        <xdr:cNvSpPr/>
      </xdr:nvSpPr>
      <xdr:spPr>
        <a:xfrm>
          <a:off x="10677110" y="3780184"/>
          <a:ext cx="1234110" cy="483206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Налога на прибыль</a:t>
          </a:r>
        </a:p>
      </xdr:txBody>
    </xdr:sp>
    <xdr:clientData/>
  </xdr:twoCellAnchor>
  <xdr:twoCellAnchor>
    <xdr:from>
      <xdr:col>16</xdr:col>
      <xdr:colOff>199610</xdr:colOff>
      <xdr:row>23</xdr:row>
      <xdr:rowOff>105026</xdr:rowOff>
    </xdr:from>
    <xdr:to>
      <xdr:col>18</xdr:col>
      <xdr:colOff>153560</xdr:colOff>
      <xdr:row>26</xdr:row>
      <xdr:rowOff>80010</xdr:rowOff>
    </xdr:to>
    <xdr:sp macro="" textlink="">
      <xdr:nvSpPr>
        <xdr:cNvPr id="72" name="Прямоугольник: один усеченный угол 7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2600-000048000000}"/>
            </a:ext>
          </a:extLst>
        </xdr:cNvPr>
        <xdr:cNvSpPr/>
      </xdr:nvSpPr>
      <xdr:spPr>
        <a:xfrm>
          <a:off x="10387550" y="4360796"/>
          <a:ext cx="1234110" cy="523624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налога на имущество</a:t>
          </a:r>
        </a:p>
      </xdr:txBody>
    </xdr:sp>
    <xdr:clientData/>
  </xdr:twoCellAnchor>
  <xdr:twoCellAnchor>
    <xdr:from>
      <xdr:col>3</xdr:col>
      <xdr:colOff>513521</xdr:colOff>
      <xdr:row>21</xdr:row>
      <xdr:rowOff>64273</xdr:rowOff>
    </xdr:from>
    <xdr:to>
      <xdr:col>5</xdr:col>
      <xdr:colOff>550130</xdr:colOff>
      <xdr:row>28</xdr:row>
      <xdr:rowOff>86140</xdr:rowOff>
    </xdr:to>
    <xdr:cxnSp macro="">
      <xdr:nvCxnSpPr>
        <xdr:cNvPr id="84" name="Прямая со стрелкой 83">
          <a:extLst>
            <a:ext uri="{FF2B5EF4-FFF2-40B4-BE49-F238E27FC236}">
              <a16:creationId xmlns:a16="http://schemas.microsoft.com/office/drawing/2014/main" id="{00000000-0008-0000-2600-000054000000}"/>
            </a:ext>
          </a:extLst>
        </xdr:cNvPr>
        <xdr:cNvCxnSpPr>
          <a:stCxn id="68" idx="0"/>
          <a:endCxn id="75" idx="2"/>
        </xdr:cNvCxnSpPr>
      </xdr:nvCxnSpPr>
      <xdr:spPr>
        <a:xfrm flipV="1">
          <a:off x="2380421" y="3954283"/>
          <a:ext cx="1316769" cy="1302027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513522</xdr:colOff>
      <xdr:row>21</xdr:row>
      <xdr:rowOff>64273</xdr:rowOff>
    </xdr:from>
    <xdr:to>
      <xdr:col>5</xdr:col>
      <xdr:colOff>550130</xdr:colOff>
      <xdr:row>33</xdr:row>
      <xdr:rowOff>119602</xdr:rowOff>
    </xdr:to>
    <xdr:cxnSp macro="">
      <xdr:nvCxnSpPr>
        <xdr:cNvPr id="85" name="Прямая со стрелкой 84">
          <a:extLst>
            <a:ext uri="{FF2B5EF4-FFF2-40B4-BE49-F238E27FC236}">
              <a16:creationId xmlns:a16="http://schemas.microsoft.com/office/drawing/2014/main" id="{00000000-0008-0000-2600-000055000000}"/>
            </a:ext>
          </a:extLst>
        </xdr:cNvPr>
        <xdr:cNvCxnSpPr>
          <a:stCxn id="69" idx="0"/>
          <a:endCxn id="75" idx="2"/>
        </xdr:cNvCxnSpPr>
      </xdr:nvCxnSpPr>
      <xdr:spPr>
        <a:xfrm flipV="1">
          <a:off x="2380422" y="3954283"/>
          <a:ext cx="1316768" cy="2249889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525118</xdr:colOff>
      <xdr:row>14</xdr:row>
      <xdr:rowOff>106017</xdr:rowOff>
    </xdr:from>
    <xdr:to>
      <xdr:col>7</xdr:col>
      <xdr:colOff>62781</xdr:colOff>
      <xdr:row>19</xdr:row>
      <xdr:rowOff>70899</xdr:rowOff>
    </xdr:to>
    <xdr:cxnSp macro="">
      <xdr:nvCxnSpPr>
        <xdr:cNvPr id="97" name="Прямая со стрелкой 96">
          <a:extLst>
            <a:ext uri="{FF2B5EF4-FFF2-40B4-BE49-F238E27FC236}">
              <a16:creationId xmlns:a16="http://schemas.microsoft.com/office/drawing/2014/main" id="{00000000-0008-0000-2600-000061000000}"/>
            </a:ext>
          </a:extLst>
        </xdr:cNvPr>
        <xdr:cNvCxnSpPr>
          <a:stCxn id="8" idx="1"/>
          <a:endCxn id="75" idx="3"/>
        </xdr:cNvCxnSpPr>
      </xdr:nvCxnSpPr>
      <xdr:spPr>
        <a:xfrm>
          <a:off x="3672178" y="2715867"/>
          <a:ext cx="817823" cy="879282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89452</xdr:rowOff>
    </xdr:from>
    <xdr:to>
      <xdr:col>8</xdr:col>
      <xdr:colOff>71231</xdr:colOff>
      <xdr:row>19</xdr:row>
      <xdr:rowOff>70899</xdr:rowOff>
    </xdr:to>
    <xdr:cxnSp macro="">
      <xdr:nvCxnSpPr>
        <xdr:cNvPr id="100" name="Прямая со стрелкой 99">
          <a:extLst>
            <a:ext uri="{FF2B5EF4-FFF2-40B4-BE49-F238E27FC236}">
              <a16:creationId xmlns:a16="http://schemas.microsoft.com/office/drawing/2014/main" id="{00000000-0008-0000-2600-000064000000}"/>
            </a:ext>
          </a:extLst>
        </xdr:cNvPr>
        <xdr:cNvCxnSpPr>
          <a:stCxn id="18" idx="1"/>
          <a:endCxn id="75" idx="3"/>
        </xdr:cNvCxnSpPr>
      </xdr:nvCxnSpPr>
      <xdr:spPr>
        <a:xfrm flipH="1">
          <a:off x="4490001" y="2699302"/>
          <a:ext cx="648530" cy="895847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106017</xdr:rowOff>
    </xdr:from>
    <xdr:to>
      <xdr:col>10</xdr:col>
      <xdr:colOff>309770</xdr:colOff>
      <xdr:row>19</xdr:row>
      <xdr:rowOff>70899</xdr:rowOff>
    </xdr:to>
    <xdr:cxnSp macro="">
      <xdr:nvCxnSpPr>
        <xdr:cNvPr id="101" name="Прямая со стрелкой 100">
          <a:extLst>
            <a:ext uri="{FF2B5EF4-FFF2-40B4-BE49-F238E27FC236}">
              <a16:creationId xmlns:a16="http://schemas.microsoft.com/office/drawing/2014/main" id="{00000000-0008-0000-2600-000065000000}"/>
            </a:ext>
          </a:extLst>
        </xdr:cNvPr>
        <xdr:cNvCxnSpPr>
          <a:stCxn id="19" idx="1"/>
          <a:endCxn id="75" idx="3"/>
        </xdr:cNvCxnSpPr>
      </xdr:nvCxnSpPr>
      <xdr:spPr>
        <a:xfrm flipH="1">
          <a:off x="4490001" y="2715867"/>
          <a:ext cx="2167229" cy="879282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309770</xdr:colOff>
      <xdr:row>14</xdr:row>
      <xdr:rowOff>106017</xdr:rowOff>
    </xdr:from>
    <xdr:to>
      <xdr:col>10</xdr:col>
      <xdr:colOff>470285</xdr:colOff>
      <xdr:row>24</xdr:row>
      <xdr:rowOff>30812</xdr:rowOff>
    </xdr:to>
    <xdr:cxnSp macro="">
      <xdr:nvCxnSpPr>
        <xdr:cNvPr id="102" name="Прямая со стрелкой 101">
          <a:extLst>
            <a:ext uri="{FF2B5EF4-FFF2-40B4-BE49-F238E27FC236}">
              <a16:creationId xmlns:a16="http://schemas.microsoft.com/office/drawing/2014/main" id="{00000000-0008-0000-2600-000066000000}"/>
            </a:ext>
          </a:extLst>
        </xdr:cNvPr>
        <xdr:cNvCxnSpPr>
          <a:stCxn id="19" idx="1"/>
          <a:endCxn id="77" idx="3"/>
        </xdr:cNvCxnSpPr>
      </xdr:nvCxnSpPr>
      <xdr:spPr>
        <a:xfrm>
          <a:off x="6657230" y="2715867"/>
          <a:ext cx="160515" cy="1753595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458855</xdr:colOff>
      <xdr:row>14</xdr:row>
      <xdr:rowOff>85642</xdr:rowOff>
    </xdr:from>
    <xdr:to>
      <xdr:col>12</xdr:col>
      <xdr:colOff>487183</xdr:colOff>
      <xdr:row>24</xdr:row>
      <xdr:rowOff>27002</xdr:rowOff>
    </xdr:to>
    <xdr:cxnSp macro="">
      <xdr:nvCxnSpPr>
        <xdr:cNvPr id="103" name="Прямая со стрелкой 102">
          <a:extLst>
            <a:ext uri="{FF2B5EF4-FFF2-40B4-BE49-F238E27FC236}">
              <a16:creationId xmlns:a16="http://schemas.microsoft.com/office/drawing/2014/main" id="{00000000-0008-0000-2600-000067000000}"/>
            </a:ext>
          </a:extLst>
        </xdr:cNvPr>
        <xdr:cNvCxnSpPr/>
      </xdr:nvCxnSpPr>
      <xdr:spPr>
        <a:xfrm flipH="1">
          <a:off x="6806315" y="2695492"/>
          <a:ext cx="1308488" cy="177016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142792</xdr:rowOff>
    </xdr:from>
    <xdr:to>
      <xdr:col>12</xdr:col>
      <xdr:colOff>452893</xdr:colOff>
      <xdr:row>19</xdr:row>
      <xdr:rowOff>70899</xdr:rowOff>
    </xdr:to>
    <xdr:cxnSp macro="">
      <xdr:nvCxnSpPr>
        <xdr:cNvPr id="112" name="Прямая со стрелкой 111">
          <a:extLst>
            <a:ext uri="{FF2B5EF4-FFF2-40B4-BE49-F238E27FC236}">
              <a16:creationId xmlns:a16="http://schemas.microsoft.com/office/drawing/2014/main" id="{00000000-0008-0000-2600-000070000000}"/>
            </a:ext>
          </a:extLst>
        </xdr:cNvPr>
        <xdr:cNvCxnSpPr>
          <a:stCxn id="20" idx="1"/>
          <a:endCxn id="75" idx="3"/>
        </xdr:cNvCxnSpPr>
      </xdr:nvCxnSpPr>
      <xdr:spPr>
        <a:xfrm flipH="1">
          <a:off x="4490001" y="2752642"/>
          <a:ext cx="3590512" cy="842507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470285</xdr:colOff>
      <xdr:row>14</xdr:row>
      <xdr:rowOff>145111</xdr:rowOff>
    </xdr:from>
    <xdr:to>
      <xdr:col>15</xdr:col>
      <xdr:colOff>66592</xdr:colOff>
      <xdr:row>24</xdr:row>
      <xdr:rowOff>30812</xdr:rowOff>
    </xdr:to>
    <xdr:cxnSp macro="">
      <xdr:nvCxnSpPr>
        <xdr:cNvPr id="115" name="Прямая со стрелкой 114">
          <a:extLst>
            <a:ext uri="{FF2B5EF4-FFF2-40B4-BE49-F238E27FC236}">
              <a16:creationId xmlns:a16="http://schemas.microsoft.com/office/drawing/2014/main" id="{00000000-0008-0000-2600-000073000000}"/>
            </a:ext>
          </a:extLst>
        </xdr:cNvPr>
        <xdr:cNvCxnSpPr>
          <a:stCxn id="21" idx="1"/>
          <a:endCxn id="77" idx="3"/>
        </xdr:cNvCxnSpPr>
      </xdr:nvCxnSpPr>
      <xdr:spPr>
        <a:xfrm flipH="1">
          <a:off x="6817745" y="2754961"/>
          <a:ext cx="2796707" cy="1714501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470285</xdr:colOff>
      <xdr:row>14</xdr:row>
      <xdr:rowOff>112643</xdr:rowOff>
    </xdr:from>
    <xdr:to>
      <xdr:col>17</xdr:col>
      <xdr:colOff>203752</xdr:colOff>
      <xdr:row>24</xdr:row>
      <xdr:rowOff>30812</xdr:rowOff>
    </xdr:to>
    <xdr:cxnSp macro="">
      <xdr:nvCxnSpPr>
        <xdr:cNvPr id="118" name="Прямая со стрелкой 117">
          <a:extLst>
            <a:ext uri="{FF2B5EF4-FFF2-40B4-BE49-F238E27FC236}">
              <a16:creationId xmlns:a16="http://schemas.microsoft.com/office/drawing/2014/main" id="{00000000-0008-0000-2600-000076000000}"/>
            </a:ext>
          </a:extLst>
        </xdr:cNvPr>
        <xdr:cNvCxnSpPr>
          <a:stCxn id="22" idx="1"/>
          <a:endCxn id="77" idx="3"/>
        </xdr:cNvCxnSpPr>
      </xdr:nvCxnSpPr>
      <xdr:spPr>
        <a:xfrm flipH="1">
          <a:off x="6817745" y="2722493"/>
          <a:ext cx="4214027" cy="1746969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71231</xdr:colOff>
      <xdr:row>14</xdr:row>
      <xdr:rowOff>89452</xdr:rowOff>
    </xdr:from>
    <xdr:to>
      <xdr:col>10</xdr:col>
      <xdr:colOff>470285</xdr:colOff>
      <xdr:row>24</xdr:row>
      <xdr:rowOff>30812</xdr:rowOff>
    </xdr:to>
    <xdr:cxnSp macro="">
      <xdr:nvCxnSpPr>
        <xdr:cNvPr id="121" name="Прямая со стрелкой 120">
          <a:extLst>
            <a:ext uri="{FF2B5EF4-FFF2-40B4-BE49-F238E27FC236}">
              <a16:creationId xmlns:a16="http://schemas.microsoft.com/office/drawing/2014/main" id="{00000000-0008-0000-2600-000079000000}"/>
            </a:ext>
          </a:extLst>
        </xdr:cNvPr>
        <xdr:cNvCxnSpPr>
          <a:stCxn id="18" idx="1"/>
          <a:endCxn id="77" idx="3"/>
        </xdr:cNvCxnSpPr>
      </xdr:nvCxnSpPr>
      <xdr:spPr>
        <a:xfrm>
          <a:off x="5138531" y="2699302"/>
          <a:ext cx="1679214" cy="177016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62781</xdr:colOff>
      <xdr:row>14</xdr:row>
      <xdr:rowOff>112643</xdr:rowOff>
    </xdr:from>
    <xdr:to>
      <xdr:col>17</xdr:col>
      <xdr:colOff>203752</xdr:colOff>
      <xdr:row>19</xdr:row>
      <xdr:rowOff>70899</xdr:rowOff>
    </xdr:to>
    <xdr:cxnSp macro="">
      <xdr:nvCxnSpPr>
        <xdr:cNvPr id="129" name="Прямая со стрелкой 128">
          <a:extLst>
            <a:ext uri="{FF2B5EF4-FFF2-40B4-BE49-F238E27FC236}">
              <a16:creationId xmlns:a16="http://schemas.microsoft.com/office/drawing/2014/main" id="{00000000-0008-0000-2600-000081000000}"/>
            </a:ext>
          </a:extLst>
        </xdr:cNvPr>
        <xdr:cNvCxnSpPr>
          <a:stCxn id="22" idx="1"/>
          <a:endCxn id="75" idx="3"/>
        </xdr:cNvCxnSpPr>
      </xdr:nvCxnSpPr>
      <xdr:spPr>
        <a:xfrm flipH="1">
          <a:off x="4490001" y="2722493"/>
          <a:ext cx="6541771" cy="872656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623016</xdr:colOff>
      <xdr:row>22</xdr:row>
      <xdr:rowOff>129208</xdr:rowOff>
    </xdr:from>
    <xdr:to>
      <xdr:col>13</xdr:col>
      <xdr:colOff>334616</xdr:colOff>
      <xdr:row>26</xdr:row>
      <xdr:rowOff>24186</xdr:rowOff>
    </xdr:to>
    <xdr:cxnSp macro="">
      <xdr:nvCxnSpPr>
        <xdr:cNvPr id="142" name="Прямая со стрелкой 141">
          <a:extLst>
            <a:ext uri="{FF2B5EF4-FFF2-40B4-BE49-F238E27FC236}">
              <a16:creationId xmlns:a16="http://schemas.microsoft.com/office/drawing/2014/main" id="{00000000-0008-0000-2600-00008E000000}"/>
            </a:ext>
          </a:extLst>
        </xdr:cNvPr>
        <xdr:cNvCxnSpPr>
          <a:stCxn id="77" idx="0"/>
          <a:endCxn id="78" idx="2"/>
        </xdr:cNvCxnSpPr>
      </xdr:nvCxnSpPr>
      <xdr:spPr>
        <a:xfrm flipV="1">
          <a:off x="7610556" y="4202098"/>
          <a:ext cx="991760" cy="626498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215512</xdr:colOff>
      <xdr:row>21</xdr:row>
      <xdr:rowOff>64273</xdr:rowOff>
    </xdr:from>
    <xdr:to>
      <xdr:col>13</xdr:col>
      <xdr:colOff>334616</xdr:colOff>
      <xdr:row>22</xdr:row>
      <xdr:rowOff>129208</xdr:rowOff>
    </xdr:to>
    <xdr:cxnSp macro="">
      <xdr:nvCxnSpPr>
        <xdr:cNvPr id="145" name="Прямая со стрелкой 144">
          <a:extLst>
            <a:ext uri="{FF2B5EF4-FFF2-40B4-BE49-F238E27FC236}">
              <a16:creationId xmlns:a16="http://schemas.microsoft.com/office/drawing/2014/main" id="{00000000-0008-0000-2600-000091000000}"/>
            </a:ext>
          </a:extLst>
        </xdr:cNvPr>
        <xdr:cNvCxnSpPr>
          <a:stCxn id="75" idx="0"/>
          <a:endCxn id="78" idx="2"/>
        </xdr:cNvCxnSpPr>
      </xdr:nvCxnSpPr>
      <xdr:spPr>
        <a:xfrm>
          <a:off x="5282812" y="3954283"/>
          <a:ext cx="3319504" cy="247815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525118</xdr:colOff>
      <xdr:row>14</xdr:row>
      <xdr:rowOff>106017</xdr:rowOff>
    </xdr:from>
    <xdr:to>
      <xdr:col>14</xdr:col>
      <xdr:colOff>487016</xdr:colOff>
      <xdr:row>20</xdr:row>
      <xdr:rowOff>135834</xdr:rowOff>
    </xdr:to>
    <xdr:cxnSp macro="">
      <xdr:nvCxnSpPr>
        <xdr:cNvPr id="151" name="Прямая со стрелкой 150">
          <a:extLst>
            <a:ext uri="{FF2B5EF4-FFF2-40B4-BE49-F238E27FC236}">
              <a16:creationId xmlns:a16="http://schemas.microsoft.com/office/drawing/2014/main" id="{00000000-0008-0000-2600-000097000000}"/>
            </a:ext>
          </a:extLst>
        </xdr:cNvPr>
        <xdr:cNvCxnSpPr>
          <a:stCxn id="8" idx="1"/>
          <a:endCxn id="78" idx="3"/>
        </xdr:cNvCxnSpPr>
      </xdr:nvCxnSpPr>
      <xdr:spPr>
        <a:xfrm>
          <a:off x="3675822" y="2706756"/>
          <a:ext cx="5716655" cy="1123121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112643</xdr:colOff>
      <xdr:row>0</xdr:row>
      <xdr:rowOff>39757</xdr:rowOff>
    </xdr:from>
    <xdr:to>
      <xdr:col>5</xdr:col>
      <xdr:colOff>29819</xdr:colOff>
      <xdr:row>1</xdr:row>
      <xdr:rowOff>96079</xdr:rowOff>
    </xdr:to>
    <xdr:sp macro="" textlink="">
      <xdr:nvSpPr>
        <xdr:cNvPr id="189" name="Прямоугольник: один усеченный угол 18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2600-0000BD000000}"/>
            </a:ext>
          </a:extLst>
        </xdr:cNvPr>
        <xdr:cNvSpPr/>
      </xdr:nvSpPr>
      <xdr:spPr>
        <a:xfrm>
          <a:off x="1984513" y="39757"/>
          <a:ext cx="1196010" cy="288235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Титул</a:t>
          </a:r>
        </a:p>
      </xdr:txBody>
    </xdr:sp>
    <xdr:clientData/>
  </xdr:twoCellAnchor>
  <xdr:twoCellAnchor>
    <xdr:from>
      <xdr:col>5</xdr:col>
      <xdr:colOff>261730</xdr:colOff>
      <xdr:row>0</xdr:row>
      <xdr:rowOff>46383</xdr:rowOff>
    </xdr:from>
    <xdr:to>
      <xdr:col>7</xdr:col>
      <xdr:colOff>178905</xdr:colOff>
      <xdr:row>1</xdr:row>
      <xdr:rowOff>102705</xdr:rowOff>
    </xdr:to>
    <xdr:sp macro="" textlink="">
      <xdr:nvSpPr>
        <xdr:cNvPr id="194" name="Прямоугольник: один усеченный угол 19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2600-0000C2000000}"/>
            </a:ext>
          </a:extLst>
        </xdr:cNvPr>
        <xdr:cNvSpPr/>
      </xdr:nvSpPr>
      <xdr:spPr>
        <a:xfrm>
          <a:off x="3412434" y="46383"/>
          <a:ext cx="1196010" cy="288235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Оглавление</a:t>
          </a:r>
        </a:p>
      </xdr:txBody>
    </xdr:sp>
    <xdr:clientData/>
  </xdr:twoCellAnchor>
  <xdr:twoCellAnchor>
    <xdr:from>
      <xdr:col>11</xdr:col>
      <xdr:colOff>623016</xdr:colOff>
      <xdr:row>18</xdr:row>
      <xdr:rowOff>95417</xdr:rowOff>
    </xdr:from>
    <xdr:to>
      <xdr:col>17</xdr:col>
      <xdr:colOff>160350</xdr:colOff>
      <xdr:row>26</xdr:row>
      <xdr:rowOff>24186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CxnSpPr>
          <a:stCxn id="70" idx="2"/>
          <a:endCxn id="77" idx="0"/>
        </xdr:cNvCxnSpPr>
      </xdr:nvCxnSpPr>
      <xdr:spPr>
        <a:xfrm flipH="1">
          <a:off x="7610556" y="3436787"/>
          <a:ext cx="3377814" cy="1391809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215512</xdr:colOff>
      <xdr:row>21</xdr:row>
      <xdr:rowOff>64273</xdr:rowOff>
    </xdr:from>
    <xdr:to>
      <xdr:col>16</xdr:col>
      <xdr:colOff>199610</xdr:colOff>
      <xdr:row>25</xdr:row>
      <xdr:rowOff>1078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00000000-0008-0000-2600-00000E000000}"/>
            </a:ext>
          </a:extLst>
        </xdr:cNvPr>
        <xdr:cNvCxnSpPr>
          <a:stCxn id="72" idx="2"/>
          <a:endCxn id="75" idx="0"/>
        </xdr:cNvCxnSpPr>
      </xdr:nvCxnSpPr>
      <xdr:spPr>
        <a:xfrm flipH="1" flipV="1">
          <a:off x="5282812" y="3954283"/>
          <a:ext cx="5104738" cy="668325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513521</xdr:colOff>
      <xdr:row>26</xdr:row>
      <xdr:rowOff>24186</xdr:rowOff>
    </xdr:from>
    <xdr:to>
      <xdr:col>9</xdr:col>
      <xdr:colOff>317553</xdr:colOff>
      <xdr:row>28</xdr:row>
      <xdr:rowOff>86140</xdr:rowOff>
    </xdr:to>
    <xdr:cxnSp macro="">
      <xdr:nvCxnSpPr>
        <xdr:cNvPr id="54" name="Прямая со стрелкой 53">
          <a:extLst>
            <a:ext uri="{FF2B5EF4-FFF2-40B4-BE49-F238E27FC236}">
              <a16:creationId xmlns:a16="http://schemas.microsoft.com/office/drawing/2014/main" id="{00000000-0008-0000-2600-000036000000}"/>
            </a:ext>
          </a:extLst>
        </xdr:cNvPr>
        <xdr:cNvCxnSpPr>
          <a:stCxn id="68" idx="0"/>
          <a:endCxn id="77" idx="2"/>
        </xdr:cNvCxnSpPr>
      </xdr:nvCxnSpPr>
      <xdr:spPr>
        <a:xfrm flipV="1">
          <a:off x="2380421" y="4828596"/>
          <a:ext cx="3644512" cy="427714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513522</xdr:colOff>
      <xdr:row>26</xdr:row>
      <xdr:rowOff>24186</xdr:rowOff>
    </xdr:from>
    <xdr:to>
      <xdr:col>9</xdr:col>
      <xdr:colOff>317553</xdr:colOff>
      <xdr:row>33</xdr:row>
      <xdr:rowOff>119602</xdr:rowOff>
    </xdr:to>
    <xdr:cxnSp macro="">
      <xdr:nvCxnSpPr>
        <xdr:cNvPr id="55" name="Прямая со стрелкой 54">
          <a:extLst>
            <a:ext uri="{FF2B5EF4-FFF2-40B4-BE49-F238E27FC236}">
              <a16:creationId xmlns:a16="http://schemas.microsoft.com/office/drawing/2014/main" id="{00000000-0008-0000-2600-000037000000}"/>
            </a:ext>
          </a:extLst>
        </xdr:cNvPr>
        <xdr:cNvCxnSpPr>
          <a:stCxn id="69" idx="0"/>
          <a:endCxn id="77" idx="2"/>
        </xdr:cNvCxnSpPr>
      </xdr:nvCxnSpPr>
      <xdr:spPr>
        <a:xfrm flipV="1">
          <a:off x="2380422" y="4828596"/>
          <a:ext cx="3644511" cy="1375576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480391</xdr:colOff>
      <xdr:row>23</xdr:row>
      <xdr:rowOff>114798</xdr:rowOff>
    </xdr:from>
    <xdr:to>
      <xdr:col>9</xdr:col>
      <xdr:colOff>317553</xdr:colOff>
      <xdr:row>26</xdr:row>
      <xdr:rowOff>24186</xdr:rowOff>
    </xdr:to>
    <xdr:cxnSp macro="">
      <xdr:nvCxnSpPr>
        <xdr:cNvPr id="53" name="Прямая со стрелкой 52">
          <a:extLst>
            <a:ext uri="{FF2B5EF4-FFF2-40B4-BE49-F238E27FC236}">
              <a16:creationId xmlns:a16="http://schemas.microsoft.com/office/drawing/2014/main" id="{00000000-0008-0000-2600-000035000000}"/>
            </a:ext>
          </a:extLst>
        </xdr:cNvPr>
        <xdr:cNvCxnSpPr>
          <a:endCxn id="77" idx="2"/>
        </xdr:cNvCxnSpPr>
      </xdr:nvCxnSpPr>
      <xdr:spPr>
        <a:xfrm>
          <a:off x="2347291" y="4370568"/>
          <a:ext cx="3677642" cy="458028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586740</xdr:colOff>
      <xdr:row>32</xdr:row>
      <xdr:rowOff>133350</xdr:rowOff>
    </xdr:from>
    <xdr:to>
      <xdr:col>13</xdr:col>
      <xdr:colOff>252122</xdr:colOff>
      <xdr:row>36</xdr:row>
      <xdr:rowOff>120097</xdr:rowOff>
    </xdr:to>
    <xdr:sp macro="" textlink="">
      <xdr:nvSpPr>
        <xdr:cNvPr id="65" name="Прямоугольник: один усеченный угол 6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2600-000041000000}"/>
            </a:ext>
          </a:extLst>
        </xdr:cNvPr>
        <xdr:cNvSpPr/>
      </xdr:nvSpPr>
      <xdr:spPr>
        <a:xfrm>
          <a:off x="6934200" y="6035040"/>
          <a:ext cx="1585622" cy="718267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доходов и расходов без льгот</a:t>
          </a:r>
        </a:p>
      </xdr:txBody>
    </xdr:sp>
    <xdr:clientData/>
  </xdr:twoCellAnchor>
  <xdr:twoCellAnchor>
    <xdr:from>
      <xdr:col>13</xdr:col>
      <xdr:colOff>419100</xdr:colOff>
      <xdr:row>32</xdr:row>
      <xdr:rowOff>179070</xdr:rowOff>
    </xdr:from>
    <xdr:to>
      <xdr:col>16</xdr:col>
      <xdr:colOff>84483</xdr:colOff>
      <xdr:row>36</xdr:row>
      <xdr:rowOff>165817</xdr:rowOff>
    </xdr:to>
    <xdr:sp macro="" textlink="">
      <xdr:nvSpPr>
        <xdr:cNvPr id="74" name="Прямоугольник: один усеченный угол 73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2600-00004A000000}"/>
            </a:ext>
          </a:extLst>
        </xdr:cNvPr>
        <xdr:cNvSpPr/>
      </xdr:nvSpPr>
      <xdr:spPr>
        <a:xfrm>
          <a:off x="8686800" y="6080760"/>
          <a:ext cx="1585623" cy="718267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движения денежных средств без льгот</a:t>
          </a:r>
        </a:p>
      </xdr:txBody>
    </xdr:sp>
    <xdr:clientData/>
  </xdr:twoCellAnchor>
  <xdr:twoCellAnchor>
    <xdr:from>
      <xdr:col>12</xdr:col>
      <xdr:colOff>99391</xdr:colOff>
      <xdr:row>21</xdr:row>
      <xdr:rowOff>131777</xdr:rowOff>
    </xdr:from>
    <xdr:to>
      <xdr:col>16</xdr:col>
      <xdr:colOff>489170</xdr:colOff>
      <xdr:row>32</xdr:row>
      <xdr:rowOff>133350</xdr:rowOff>
    </xdr:to>
    <xdr:cxnSp macro="">
      <xdr:nvCxnSpPr>
        <xdr:cNvPr id="79" name="Прямая со стрелкой 78">
          <a:extLst>
            <a:ext uri="{FF2B5EF4-FFF2-40B4-BE49-F238E27FC236}">
              <a16:creationId xmlns:a16="http://schemas.microsoft.com/office/drawing/2014/main" id="{00000000-0008-0000-2600-00004F000000}"/>
            </a:ext>
          </a:extLst>
        </xdr:cNvPr>
        <xdr:cNvCxnSpPr>
          <a:stCxn id="71" idx="2"/>
          <a:endCxn id="65" idx="3"/>
        </xdr:cNvCxnSpPr>
      </xdr:nvCxnSpPr>
      <xdr:spPr>
        <a:xfrm flipH="1">
          <a:off x="7727011" y="4021787"/>
          <a:ext cx="2950099" cy="2013253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571832</xdr:colOff>
      <xdr:row>25</xdr:row>
      <xdr:rowOff>1078</xdr:rowOff>
    </xdr:from>
    <xdr:to>
      <xdr:col>16</xdr:col>
      <xdr:colOff>199610</xdr:colOff>
      <xdr:row>32</xdr:row>
      <xdr:rowOff>179070</xdr:rowOff>
    </xdr:to>
    <xdr:cxnSp macro="">
      <xdr:nvCxnSpPr>
        <xdr:cNvPr id="87" name="Прямая со стрелкой 86">
          <a:extLst>
            <a:ext uri="{FF2B5EF4-FFF2-40B4-BE49-F238E27FC236}">
              <a16:creationId xmlns:a16="http://schemas.microsoft.com/office/drawing/2014/main" id="{00000000-0008-0000-2600-000057000000}"/>
            </a:ext>
          </a:extLst>
        </xdr:cNvPr>
        <xdr:cNvCxnSpPr>
          <a:stCxn id="74" idx="3"/>
          <a:endCxn id="72" idx="2"/>
        </xdr:cNvCxnSpPr>
      </xdr:nvCxnSpPr>
      <xdr:spPr>
        <a:xfrm flipV="1">
          <a:off x="9479612" y="4622608"/>
          <a:ext cx="907938" cy="1458152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564102</xdr:colOff>
      <xdr:row>33</xdr:row>
      <xdr:rowOff>87184</xdr:rowOff>
    </xdr:from>
    <xdr:to>
      <xdr:col>7</xdr:col>
      <xdr:colOff>546846</xdr:colOff>
      <xdr:row>37</xdr:row>
      <xdr:rowOff>165848</xdr:rowOff>
    </xdr:to>
    <xdr:sp macro="" textlink="">
      <xdr:nvSpPr>
        <xdr:cNvPr id="173" name="Прямоугольник: один усеченный угол 17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2600-0000AD000000}"/>
            </a:ext>
          </a:extLst>
        </xdr:cNvPr>
        <xdr:cNvSpPr/>
      </xdr:nvSpPr>
      <xdr:spPr>
        <a:xfrm>
          <a:off x="3078702" y="6201113"/>
          <a:ext cx="1905673" cy="813770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Ключевые показатели эффективности с льготами</a:t>
          </a:r>
        </a:p>
      </xdr:txBody>
    </xdr:sp>
    <xdr:clientData/>
  </xdr:twoCellAnchor>
  <xdr:twoCellAnchor>
    <xdr:from>
      <xdr:col>10</xdr:col>
      <xdr:colOff>623495</xdr:colOff>
      <xdr:row>38</xdr:row>
      <xdr:rowOff>2913</xdr:rowOff>
    </xdr:from>
    <xdr:to>
      <xdr:col>13</xdr:col>
      <xdr:colOff>287982</xdr:colOff>
      <xdr:row>43</xdr:row>
      <xdr:rowOff>60064</xdr:rowOff>
    </xdr:to>
    <xdr:sp macro="" textlink="">
      <xdr:nvSpPr>
        <xdr:cNvPr id="174" name="Прямоугольник: один усеченный угол 17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2600-0000AE000000}"/>
            </a:ext>
          </a:extLst>
        </xdr:cNvPr>
        <xdr:cNvSpPr/>
      </xdr:nvSpPr>
      <xdr:spPr>
        <a:xfrm>
          <a:off x="6983954" y="7035725"/>
          <a:ext cx="1587416" cy="976033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Ключевые показатели эффективности без льгот</a:t>
          </a:r>
        </a:p>
      </xdr:txBody>
    </xdr:sp>
    <xdr:clientData/>
  </xdr:twoCellAnchor>
  <xdr:twoCellAnchor>
    <xdr:from>
      <xdr:col>6</xdr:col>
      <xdr:colOff>234986</xdr:colOff>
      <xdr:row>28</xdr:row>
      <xdr:rowOff>17559</xdr:rowOff>
    </xdr:from>
    <xdr:to>
      <xdr:col>10</xdr:col>
      <xdr:colOff>470284</xdr:colOff>
      <xdr:row>33</xdr:row>
      <xdr:rowOff>87184</xdr:rowOff>
    </xdr:to>
    <xdr:cxnSp macro="">
      <xdr:nvCxnSpPr>
        <xdr:cNvPr id="188" name="Прямая со стрелкой 187">
          <a:extLst>
            <a:ext uri="{FF2B5EF4-FFF2-40B4-BE49-F238E27FC236}">
              <a16:creationId xmlns:a16="http://schemas.microsoft.com/office/drawing/2014/main" id="{00000000-0008-0000-2600-0000BC000000}"/>
            </a:ext>
          </a:extLst>
        </xdr:cNvPr>
        <xdr:cNvCxnSpPr>
          <a:stCxn id="77" idx="1"/>
          <a:endCxn id="173" idx="3"/>
        </xdr:cNvCxnSpPr>
      </xdr:nvCxnSpPr>
      <xdr:spPr>
        <a:xfrm flipH="1">
          <a:off x="4031539" y="5212606"/>
          <a:ext cx="2799204" cy="988507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493643</xdr:colOff>
      <xdr:row>19</xdr:row>
      <xdr:rowOff>92766</xdr:rowOff>
    </xdr:from>
    <xdr:to>
      <xdr:col>5</xdr:col>
      <xdr:colOff>550130</xdr:colOff>
      <xdr:row>21</xdr:row>
      <xdr:rowOff>64273</xdr:rowOff>
    </xdr:to>
    <xdr:cxnSp macro="">
      <xdr:nvCxnSpPr>
        <xdr:cNvPr id="195" name="Прямая со стрелкой 194">
          <a:extLst>
            <a:ext uri="{FF2B5EF4-FFF2-40B4-BE49-F238E27FC236}">
              <a16:creationId xmlns:a16="http://schemas.microsoft.com/office/drawing/2014/main" id="{00000000-0008-0000-2600-0000C3000000}"/>
            </a:ext>
          </a:extLst>
        </xdr:cNvPr>
        <xdr:cNvCxnSpPr>
          <a:stCxn id="66" idx="0"/>
          <a:endCxn id="75" idx="2"/>
        </xdr:cNvCxnSpPr>
      </xdr:nvCxnSpPr>
      <xdr:spPr>
        <a:xfrm>
          <a:off x="2360543" y="3617016"/>
          <a:ext cx="1336647" cy="337267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480391</xdr:colOff>
      <xdr:row>21</xdr:row>
      <xdr:rowOff>64273</xdr:rowOff>
    </xdr:from>
    <xdr:to>
      <xdr:col>5</xdr:col>
      <xdr:colOff>550130</xdr:colOff>
      <xdr:row>23</xdr:row>
      <xdr:rowOff>126228</xdr:rowOff>
    </xdr:to>
    <xdr:cxnSp macro="">
      <xdr:nvCxnSpPr>
        <xdr:cNvPr id="196" name="Прямая со стрелкой 195">
          <a:extLst>
            <a:ext uri="{FF2B5EF4-FFF2-40B4-BE49-F238E27FC236}">
              <a16:creationId xmlns:a16="http://schemas.microsoft.com/office/drawing/2014/main" id="{00000000-0008-0000-2600-0000C4000000}"/>
            </a:ext>
          </a:extLst>
        </xdr:cNvPr>
        <xdr:cNvCxnSpPr>
          <a:stCxn id="67" idx="0"/>
          <a:endCxn id="75" idx="2"/>
        </xdr:cNvCxnSpPr>
      </xdr:nvCxnSpPr>
      <xdr:spPr>
        <a:xfrm flipV="1">
          <a:off x="2347291" y="3954283"/>
          <a:ext cx="1349899" cy="427715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493643</xdr:colOff>
      <xdr:row>19</xdr:row>
      <xdr:rowOff>92766</xdr:rowOff>
    </xdr:from>
    <xdr:to>
      <xdr:col>9</xdr:col>
      <xdr:colOff>317553</xdr:colOff>
      <xdr:row>26</xdr:row>
      <xdr:rowOff>24186</xdr:rowOff>
    </xdr:to>
    <xdr:cxnSp macro="">
      <xdr:nvCxnSpPr>
        <xdr:cNvPr id="203" name="Прямая со стрелкой 202">
          <a:extLst>
            <a:ext uri="{FF2B5EF4-FFF2-40B4-BE49-F238E27FC236}">
              <a16:creationId xmlns:a16="http://schemas.microsoft.com/office/drawing/2014/main" id="{00000000-0008-0000-2600-0000CB000000}"/>
            </a:ext>
          </a:extLst>
        </xdr:cNvPr>
        <xdr:cNvCxnSpPr>
          <a:stCxn id="66" idx="0"/>
          <a:endCxn id="77" idx="2"/>
        </xdr:cNvCxnSpPr>
      </xdr:nvCxnSpPr>
      <xdr:spPr>
        <a:xfrm>
          <a:off x="2360543" y="3617016"/>
          <a:ext cx="3664390" cy="1211580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98943</xdr:colOff>
      <xdr:row>36</xdr:row>
      <xdr:rowOff>120097</xdr:rowOff>
    </xdr:from>
    <xdr:to>
      <xdr:col>12</xdr:col>
      <xdr:colOff>135250</xdr:colOff>
      <xdr:row>38</xdr:row>
      <xdr:rowOff>2913</xdr:rowOff>
    </xdr:to>
    <xdr:cxnSp macro="">
      <xdr:nvCxnSpPr>
        <xdr:cNvPr id="208" name="Прямая со стрелкой 207">
          <a:extLst>
            <a:ext uri="{FF2B5EF4-FFF2-40B4-BE49-F238E27FC236}">
              <a16:creationId xmlns:a16="http://schemas.microsoft.com/office/drawing/2014/main" id="{00000000-0008-0000-2600-0000D0000000}"/>
            </a:ext>
          </a:extLst>
        </xdr:cNvPr>
        <xdr:cNvCxnSpPr>
          <a:stCxn id="65" idx="1"/>
          <a:endCxn id="174" idx="3"/>
        </xdr:cNvCxnSpPr>
      </xdr:nvCxnSpPr>
      <xdr:spPr>
        <a:xfrm>
          <a:off x="7741355" y="6785356"/>
          <a:ext cx="36307" cy="250369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135250</xdr:colOff>
      <xdr:row>36</xdr:row>
      <xdr:rowOff>165817</xdr:rowOff>
    </xdr:from>
    <xdr:to>
      <xdr:col>14</xdr:col>
      <xdr:colOff>572280</xdr:colOff>
      <xdr:row>38</xdr:row>
      <xdr:rowOff>2913</xdr:rowOff>
    </xdr:to>
    <xdr:cxnSp macro="">
      <xdr:nvCxnSpPr>
        <xdr:cNvPr id="211" name="Прямая со стрелкой 210">
          <a:extLst>
            <a:ext uri="{FF2B5EF4-FFF2-40B4-BE49-F238E27FC236}">
              <a16:creationId xmlns:a16="http://schemas.microsoft.com/office/drawing/2014/main" id="{00000000-0008-0000-2600-0000D3000000}"/>
            </a:ext>
          </a:extLst>
        </xdr:cNvPr>
        <xdr:cNvCxnSpPr>
          <a:stCxn id="74" idx="1"/>
          <a:endCxn id="174" idx="3"/>
        </xdr:cNvCxnSpPr>
      </xdr:nvCxnSpPr>
      <xdr:spPr>
        <a:xfrm flipH="1">
          <a:off x="7777662" y="6831076"/>
          <a:ext cx="1718983" cy="204649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234986</xdr:colOff>
      <xdr:row>23</xdr:row>
      <xdr:rowOff>57646</xdr:rowOff>
    </xdr:from>
    <xdr:to>
      <xdr:col>7</xdr:col>
      <xdr:colOff>62333</xdr:colOff>
      <xdr:row>33</xdr:row>
      <xdr:rowOff>87184</xdr:rowOff>
    </xdr:to>
    <xdr:cxnSp macro="">
      <xdr:nvCxnSpPr>
        <xdr:cNvPr id="216" name="Прямая со стрелкой 215">
          <a:extLst>
            <a:ext uri="{FF2B5EF4-FFF2-40B4-BE49-F238E27FC236}">
              <a16:creationId xmlns:a16="http://schemas.microsoft.com/office/drawing/2014/main" id="{00000000-0008-0000-2600-0000D8000000}"/>
            </a:ext>
          </a:extLst>
        </xdr:cNvPr>
        <xdr:cNvCxnSpPr>
          <a:stCxn id="75" idx="1"/>
          <a:endCxn id="173" idx="3"/>
        </xdr:cNvCxnSpPr>
      </xdr:nvCxnSpPr>
      <xdr:spPr>
        <a:xfrm flipH="1">
          <a:off x="4031539" y="4333811"/>
          <a:ext cx="468323" cy="1867302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300659</xdr:colOff>
      <xdr:row>6</xdr:row>
      <xdr:rowOff>150579</xdr:rowOff>
    </xdr:from>
    <xdr:to>
      <xdr:col>18</xdr:col>
      <xdr:colOff>137325</xdr:colOff>
      <xdr:row>17</xdr:row>
      <xdr:rowOff>84153</xdr:rowOff>
    </xdr:to>
    <xdr:cxnSp macro="">
      <xdr:nvCxnSpPr>
        <xdr:cNvPr id="219" name="Прямая со стрелкой 218">
          <a:extLst>
            <a:ext uri="{FF2B5EF4-FFF2-40B4-BE49-F238E27FC236}">
              <a16:creationId xmlns:a16="http://schemas.microsoft.com/office/drawing/2014/main" id="{00000000-0008-0000-2600-0000DB000000}"/>
            </a:ext>
          </a:extLst>
        </xdr:cNvPr>
        <xdr:cNvCxnSpPr>
          <a:endCxn id="70" idx="3"/>
        </xdr:cNvCxnSpPr>
      </xdr:nvCxnSpPr>
      <xdr:spPr>
        <a:xfrm>
          <a:off x="7288199" y="1297389"/>
          <a:ext cx="4317226" cy="1945254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131361</xdr:colOff>
      <xdr:row>14</xdr:row>
      <xdr:rowOff>145111</xdr:rowOff>
    </xdr:from>
    <xdr:to>
      <xdr:col>15</xdr:col>
      <xdr:colOff>66592</xdr:colOff>
      <xdr:row>19</xdr:row>
      <xdr:rowOff>116619</xdr:rowOff>
    </xdr:to>
    <xdr:cxnSp macro="">
      <xdr:nvCxnSpPr>
        <xdr:cNvPr id="126" name="Прямая со стрелкой 125">
          <a:extLst>
            <a:ext uri="{FF2B5EF4-FFF2-40B4-BE49-F238E27FC236}">
              <a16:creationId xmlns:a16="http://schemas.microsoft.com/office/drawing/2014/main" id="{00000000-0008-0000-2600-00007E000000}"/>
            </a:ext>
          </a:extLst>
        </xdr:cNvPr>
        <xdr:cNvCxnSpPr>
          <a:stCxn id="21" idx="1"/>
        </xdr:cNvCxnSpPr>
      </xdr:nvCxnSpPr>
      <xdr:spPr>
        <a:xfrm flipH="1">
          <a:off x="4558581" y="2754961"/>
          <a:ext cx="5055871" cy="885908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124074</xdr:colOff>
      <xdr:row>6</xdr:row>
      <xdr:rowOff>77360</xdr:rowOff>
    </xdr:from>
    <xdr:to>
      <xdr:col>17</xdr:col>
      <xdr:colOff>467470</xdr:colOff>
      <xdr:row>16</xdr:row>
      <xdr:rowOff>164163</xdr:rowOff>
    </xdr:to>
    <xdr:cxnSp macro="">
      <xdr:nvCxnSpPr>
        <xdr:cNvPr id="222" name="Прямая со стрелкой 221">
          <a:extLst>
            <a:ext uri="{FF2B5EF4-FFF2-40B4-BE49-F238E27FC236}">
              <a16:creationId xmlns:a16="http://schemas.microsoft.com/office/drawing/2014/main" id="{00000000-0008-0000-2600-0000DE000000}"/>
            </a:ext>
          </a:extLst>
        </xdr:cNvPr>
        <xdr:cNvCxnSpPr/>
      </xdr:nvCxnSpPr>
      <xdr:spPr>
        <a:xfrm>
          <a:off x="5831454" y="1224170"/>
          <a:ext cx="5464036" cy="1915603"/>
        </a:xfrm>
        <a:prstGeom prst="straightConnector1">
          <a:avLst/>
        </a:prstGeom>
        <a:ln w="12700" cap="rnd">
          <a:solidFill>
            <a:schemeClr val="accent5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95083</xdr:colOff>
      <xdr:row>11</xdr:row>
      <xdr:rowOff>115294</xdr:rowOff>
    </xdr:from>
    <xdr:to>
      <xdr:col>16</xdr:col>
      <xdr:colOff>38100</xdr:colOff>
      <xdr:row>14</xdr:row>
      <xdr:rowOff>145111</xdr:rowOff>
    </xdr:to>
    <xdr:sp macro="" textlink="">
      <xdr:nvSpPr>
        <xdr:cNvPr id="21" name="Прямоугольник: один усеченный угол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2600-000015000000}"/>
            </a:ext>
          </a:extLst>
        </xdr:cNvPr>
        <xdr:cNvSpPr/>
      </xdr:nvSpPr>
      <xdr:spPr>
        <a:xfrm>
          <a:off x="9002863" y="2176504"/>
          <a:ext cx="1223177" cy="57845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Персонал</a:t>
          </a:r>
        </a:p>
      </xdr:txBody>
    </xdr:sp>
    <xdr:clientData/>
  </xdr:twoCellAnchor>
  <xdr:twoCellAnchor>
    <xdr:from>
      <xdr:col>11</xdr:col>
      <xdr:colOff>481053</xdr:colOff>
      <xdr:row>11</xdr:row>
      <xdr:rowOff>112975</xdr:rowOff>
    </xdr:from>
    <xdr:to>
      <xdr:col>13</xdr:col>
      <xdr:colOff>424733</xdr:colOff>
      <xdr:row>14</xdr:row>
      <xdr:rowOff>142792</xdr:rowOff>
    </xdr:to>
    <xdr:sp macro="" textlink="">
      <xdr:nvSpPr>
        <xdr:cNvPr id="20" name="Прямоугольник: один усеченный угол 1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2600-000014000000}"/>
            </a:ext>
          </a:extLst>
        </xdr:cNvPr>
        <xdr:cNvSpPr/>
      </xdr:nvSpPr>
      <xdr:spPr>
        <a:xfrm>
          <a:off x="7468593" y="2174185"/>
          <a:ext cx="1223840" cy="57845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Себестоимость</a:t>
          </a:r>
        </a:p>
      </xdr:txBody>
    </xdr:sp>
    <xdr:clientData/>
  </xdr:twoCellAnchor>
  <xdr:twoCellAnchor>
    <xdr:from>
      <xdr:col>12</xdr:col>
      <xdr:colOff>99391</xdr:colOff>
      <xdr:row>25</xdr:row>
      <xdr:rowOff>1078</xdr:rowOff>
    </xdr:from>
    <xdr:to>
      <xdr:col>16</xdr:col>
      <xdr:colOff>199610</xdr:colOff>
      <xdr:row>32</xdr:row>
      <xdr:rowOff>133350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CxnSpPr>
          <a:stCxn id="72" idx="2"/>
          <a:endCxn id="65" idx="3"/>
        </xdr:cNvCxnSpPr>
      </xdr:nvCxnSpPr>
      <xdr:spPr>
        <a:xfrm flipH="1">
          <a:off x="7727011" y="4622608"/>
          <a:ext cx="2660539" cy="1412432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571832</xdr:colOff>
      <xdr:row>21</xdr:row>
      <xdr:rowOff>131777</xdr:rowOff>
    </xdr:from>
    <xdr:to>
      <xdr:col>16</xdr:col>
      <xdr:colOff>489170</xdr:colOff>
      <xdr:row>32</xdr:row>
      <xdr:rowOff>179070</xdr:rowOff>
    </xdr:to>
    <xdr:cxnSp macro="">
      <xdr:nvCxnSpPr>
        <xdr:cNvPr id="33" name="Прямая со стрелкой 32">
          <a:extLst>
            <a:ext uri="{FF2B5EF4-FFF2-40B4-BE49-F238E27FC236}">
              <a16:creationId xmlns:a16="http://schemas.microsoft.com/office/drawing/2014/main" id="{00000000-0008-0000-2600-000021000000}"/>
            </a:ext>
          </a:extLst>
        </xdr:cNvPr>
        <xdr:cNvCxnSpPr>
          <a:stCxn id="71" idx="2"/>
          <a:endCxn id="74" idx="3"/>
        </xdr:cNvCxnSpPr>
      </xdr:nvCxnSpPr>
      <xdr:spPr>
        <a:xfrm flipH="1">
          <a:off x="9479612" y="4021787"/>
          <a:ext cx="1197498" cy="2058973"/>
        </a:xfrm>
        <a:prstGeom prst="straightConnector1">
          <a:avLst/>
        </a:prstGeom>
        <a:ln w="12700" cap="rnd">
          <a:solidFill>
            <a:schemeClr val="accent4">
              <a:lumMod val="40000"/>
              <a:lumOff val="60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234986</xdr:colOff>
      <xdr:row>24</xdr:row>
      <xdr:rowOff>122581</xdr:rowOff>
    </xdr:from>
    <xdr:to>
      <xdr:col>14</xdr:col>
      <xdr:colOff>487016</xdr:colOff>
      <xdr:row>33</xdr:row>
      <xdr:rowOff>87184</xdr:rowOff>
    </xdr:to>
    <xdr:cxnSp macro="">
      <xdr:nvCxnSpPr>
        <xdr:cNvPr id="36" name="Прямая со стрелкой 35">
          <a:extLst>
            <a:ext uri="{FF2B5EF4-FFF2-40B4-BE49-F238E27FC236}">
              <a16:creationId xmlns:a16="http://schemas.microsoft.com/office/drawing/2014/main" id="{00000000-0008-0000-2600-000024000000}"/>
            </a:ext>
          </a:extLst>
        </xdr:cNvPr>
        <xdr:cNvCxnSpPr>
          <a:stCxn id="78" idx="1"/>
          <a:endCxn id="173" idx="3"/>
        </xdr:cNvCxnSpPr>
      </xdr:nvCxnSpPr>
      <xdr:spPr>
        <a:xfrm flipH="1">
          <a:off x="4031539" y="4582522"/>
          <a:ext cx="5379842" cy="1618591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317553</xdr:colOff>
      <xdr:row>24</xdr:row>
      <xdr:rowOff>30812</xdr:rowOff>
    </xdr:from>
    <xdr:to>
      <xdr:col>11</xdr:col>
      <xdr:colOff>623016</xdr:colOff>
      <xdr:row>28</xdr:row>
      <xdr:rowOff>17559</xdr:rowOff>
    </xdr:to>
    <xdr:sp macro="" textlink="">
      <xdr:nvSpPr>
        <xdr:cNvPr id="77" name="Прямоугольник: один усеченный угол 76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2600-00004D000000}"/>
            </a:ext>
          </a:extLst>
        </xdr:cNvPr>
        <xdr:cNvSpPr/>
      </xdr:nvSpPr>
      <xdr:spPr>
        <a:xfrm>
          <a:off x="6024933" y="4469462"/>
          <a:ext cx="1585623" cy="71826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движения денежных средств</a:t>
          </a:r>
        </a:p>
      </xdr:txBody>
    </xdr:sp>
    <xdr:clientData/>
  </xdr:twoCellAnchor>
  <xdr:twoCellAnchor>
    <xdr:from>
      <xdr:col>12</xdr:col>
      <xdr:colOff>622375</xdr:colOff>
      <xdr:row>47</xdr:row>
      <xdr:rowOff>76201</xdr:rowOff>
    </xdr:from>
    <xdr:to>
      <xdr:col>15</xdr:col>
      <xdr:colOff>286862</xdr:colOff>
      <xdr:row>50</xdr:row>
      <xdr:rowOff>10253</xdr:rowOff>
    </xdr:to>
    <xdr:sp macro="" textlink="">
      <xdr:nvSpPr>
        <xdr:cNvPr id="40" name="Прямоугольник: один усеченный угол 39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2600-000028000000}"/>
            </a:ext>
          </a:extLst>
        </xdr:cNvPr>
        <xdr:cNvSpPr/>
      </xdr:nvSpPr>
      <xdr:spPr>
        <a:xfrm>
          <a:off x="8264787" y="8763001"/>
          <a:ext cx="1587416" cy="485381"/>
        </a:xfrm>
        <a:prstGeom prst="snip1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Дашборд № 2</a:t>
          </a:r>
        </a:p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(без льгот)</a:t>
          </a:r>
        </a:p>
      </xdr:txBody>
    </xdr:sp>
    <xdr:clientData/>
  </xdr:twoCellAnchor>
  <xdr:twoCellAnchor>
    <xdr:from>
      <xdr:col>2</xdr:col>
      <xdr:colOff>778799</xdr:colOff>
      <xdr:row>23</xdr:row>
      <xdr:rowOff>57646</xdr:rowOff>
    </xdr:from>
    <xdr:to>
      <xdr:col>7</xdr:col>
      <xdr:colOff>62333</xdr:colOff>
      <xdr:row>39</xdr:row>
      <xdr:rowOff>174813</xdr:rowOff>
    </xdr:to>
    <xdr:cxnSp macro="">
      <xdr:nvCxnSpPr>
        <xdr:cNvPr id="44" name="Прямая со стрелкой 43">
          <a:extLst>
            <a:ext uri="{FF2B5EF4-FFF2-40B4-BE49-F238E27FC236}">
              <a16:creationId xmlns:a16="http://schemas.microsoft.com/office/drawing/2014/main" id="{00000000-0008-0000-2600-00002C000000}"/>
            </a:ext>
          </a:extLst>
        </xdr:cNvPr>
        <xdr:cNvCxnSpPr>
          <a:cxnSpLocks/>
          <a:stCxn id="75" idx="1"/>
          <a:endCxn id="11" idx="3"/>
        </xdr:cNvCxnSpPr>
      </xdr:nvCxnSpPr>
      <xdr:spPr>
        <a:xfrm flipH="1">
          <a:off x="1850081" y="4333811"/>
          <a:ext cx="2649781" cy="3057590"/>
        </a:xfrm>
        <a:prstGeom prst="straightConnector1">
          <a:avLst/>
        </a:prstGeom>
        <a:ln w="12700" cap="rnd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550130</xdr:colOff>
      <xdr:row>19</xdr:row>
      <xdr:rowOff>70899</xdr:rowOff>
    </xdr:from>
    <xdr:to>
      <xdr:col>8</xdr:col>
      <xdr:colOff>215512</xdr:colOff>
      <xdr:row>23</xdr:row>
      <xdr:rowOff>57646</xdr:rowOff>
    </xdr:to>
    <xdr:sp macro="" textlink="">
      <xdr:nvSpPr>
        <xdr:cNvPr id="75" name="Прямоугольник: один усеченный угол 7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2600-00004B000000}"/>
            </a:ext>
          </a:extLst>
        </xdr:cNvPr>
        <xdr:cNvSpPr/>
      </xdr:nvSpPr>
      <xdr:spPr>
        <a:xfrm>
          <a:off x="3697190" y="3595149"/>
          <a:ext cx="1585622" cy="71826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Бюджет доходов и расходов</a:t>
          </a:r>
        </a:p>
      </xdr:txBody>
    </xdr:sp>
    <xdr:clientData/>
  </xdr:twoCellAnchor>
  <xdr:twoCellAnchor>
    <xdr:from>
      <xdr:col>16</xdr:col>
      <xdr:colOff>396240</xdr:colOff>
      <xdr:row>33</xdr:row>
      <xdr:rowOff>3810</xdr:rowOff>
    </xdr:from>
    <xdr:to>
      <xdr:col>19</xdr:col>
      <xdr:colOff>61623</xdr:colOff>
      <xdr:row>36</xdr:row>
      <xdr:rowOff>173437</xdr:rowOff>
    </xdr:to>
    <xdr:sp macro="" textlink="">
      <xdr:nvSpPr>
        <xdr:cNvPr id="58" name="Прямоугольник: один усеченный угол 5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2600-00003A000000}"/>
            </a:ext>
          </a:extLst>
        </xdr:cNvPr>
        <xdr:cNvSpPr/>
      </xdr:nvSpPr>
      <xdr:spPr>
        <a:xfrm>
          <a:off x="10584180" y="6088380"/>
          <a:ext cx="1585623" cy="718267"/>
        </a:xfrm>
        <a:prstGeom prst="snip1Rect">
          <a:avLst/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Баланс без льгот</a:t>
          </a:r>
        </a:p>
      </xdr:txBody>
    </xdr:sp>
    <xdr:clientData/>
  </xdr:twoCellAnchor>
  <xdr:twoCellAnchor>
    <xdr:from>
      <xdr:col>9</xdr:col>
      <xdr:colOff>612942</xdr:colOff>
      <xdr:row>53</xdr:row>
      <xdr:rowOff>55357</xdr:rowOff>
    </xdr:from>
    <xdr:to>
      <xdr:col>11</xdr:col>
      <xdr:colOff>553639</xdr:colOff>
      <xdr:row>55</xdr:row>
      <xdr:rowOff>14607</xdr:rowOff>
    </xdr:to>
    <xdr:sp macro="" textlink="">
      <xdr:nvSpPr>
        <xdr:cNvPr id="89" name="Прямоугольник: один усеченный угол 88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2600-000059000000}"/>
            </a:ext>
          </a:extLst>
        </xdr:cNvPr>
        <xdr:cNvSpPr/>
      </xdr:nvSpPr>
      <xdr:spPr>
        <a:xfrm>
          <a:off x="6332424" y="9844816"/>
          <a:ext cx="1222650" cy="326803"/>
        </a:xfrm>
        <a:prstGeom prst="snip1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Легенда</a:t>
          </a:r>
        </a:p>
      </xdr:txBody>
    </xdr:sp>
    <xdr:clientData/>
  </xdr:twoCellAnchor>
  <xdr:twoCellAnchor>
    <xdr:from>
      <xdr:col>10</xdr:col>
      <xdr:colOff>207065</xdr:colOff>
      <xdr:row>0</xdr:row>
      <xdr:rowOff>30480</xdr:rowOff>
    </xdr:from>
    <xdr:to>
      <xdr:col>12</xdr:col>
      <xdr:colOff>129540</xdr:colOff>
      <xdr:row>1</xdr:row>
      <xdr:rowOff>76200</xdr:rowOff>
    </xdr:to>
    <xdr:sp macro="" textlink="">
      <xdr:nvSpPr>
        <xdr:cNvPr id="90" name="Прямоугольник: один усеченный угол 89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2600-00005A000000}"/>
            </a:ext>
          </a:extLst>
        </xdr:cNvPr>
        <xdr:cNvSpPr/>
      </xdr:nvSpPr>
      <xdr:spPr>
        <a:xfrm>
          <a:off x="6554525" y="30480"/>
          <a:ext cx="1202635" cy="278130"/>
        </a:xfrm>
        <a:prstGeom prst="snip1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Контроль</a:t>
          </a:r>
        </a:p>
      </xdr:txBody>
    </xdr:sp>
    <xdr:clientData/>
  </xdr:twoCellAnchor>
  <xdr:twoCellAnchor>
    <xdr:from>
      <xdr:col>12</xdr:col>
      <xdr:colOff>238890</xdr:colOff>
      <xdr:row>53</xdr:row>
      <xdr:rowOff>73510</xdr:rowOff>
    </xdr:from>
    <xdr:to>
      <xdr:col>14</xdr:col>
      <xdr:colOff>179587</xdr:colOff>
      <xdr:row>55</xdr:row>
      <xdr:rowOff>32760</xdr:rowOff>
    </xdr:to>
    <xdr:sp macro="" textlink="">
      <xdr:nvSpPr>
        <xdr:cNvPr id="91" name="Прямоугольник: один усеченный угол 90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2600-00005B000000}"/>
            </a:ext>
          </a:extLst>
        </xdr:cNvPr>
        <xdr:cNvSpPr/>
      </xdr:nvSpPr>
      <xdr:spPr>
        <a:xfrm>
          <a:off x="7881302" y="9862969"/>
          <a:ext cx="1222650" cy="326803"/>
        </a:xfrm>
        <a:prstGeom prst="snip1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Шаблон листа</a:t>
          </a:r>
        </a:p>
      </xdr:txBody>
    </xdr:sp>
    <xdr:clientData/>
  </xdr:twoCellAnchor>
  <xdr:twoCellAnchor>
    <xdr:from>
      <xdr:col>14</xdr:col>
      <xdr:colOff>481385</xdr:colOff>
      <xdr:row>53</xdr:row>
      <xdr:rowOff>87630</xdr:rowOff>
    </xdr:from>
    <xdr:to>
      <xdr:col>16</xdr:col>
      <xdr:colOff>422082</xdr:colOff>
      <xdr:row>55</xdr:row>
      <xdr:rowOff>46880</xdr:rowOff>
    </xdr:to>
    <xdr:sp macro="" textlink="">
      <xdr:nvSpPr>
        <xdr:cNvPr id="92" name="Прямоугольник: один усеченный угол 91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2600-00005C000000}"/>
            </a:ext>
          </a:extLst>
        </xdr:cNvPr>
        <xdr:cNvSpPr/>
      </xdr:nvSpPr>
      <xdr:spPr>
        <a:xfrm>
          <a:off x="9389165" y="9829800"/>
          <a:ext cx="1220857" cy="325010"/>
        </a:xfrm>
        <a:prstGeom prst="snip1Rect">
          <a:avLst/>
        </a:prstGeom>
        <a:solidFill>
          <a:schemeClr val="bg2">
            <a:lumMod val="9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Требования</a:t>
          </a:r>
        </a:p>
      </xdr:txBody>
    </xdr:sp>
    <xdr:clientData/>
  </xdr:twoCellAnchor>
  <xdr:twoCellAnchor>
    <xdr:from>
      <xdr:col>7</xdr:col>
      <xdr:colOff>574150</xdr:colOff>
      <xdr:row>0</xdr:row>
      <xdr:rowOff>54003</xdr:rowOff>
    </xdr:from>
    <xdr:to>
      <xdr:col>9</xdr:col>
      <xdr:colOff>491325</xdr:colOff>
      <xdr:row>1</xdr:row>
      <xdr:rowOff>110325</xdr:rowOff>
    </xdr:to>
    <xdr:sp macro="" textlink="">
      <xdr:nvSpPr>
        <xdr:cNvPr id="5" name="Прямоугольник: один усеченный угол 4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/>
      </xdr:nvSpPr>
      <xdr:spPr>
        <a:xfrm>
          <a:off x="5001370" y="54003"/>
          <a:ext cx="1197335" cy="288732"/>
        </a:xfrm>
        <a:prstGeom prst="snip1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5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Описание</a:t>
          </a:r>
        </a:p>
      </xdr:txBody>
    </xdr:sp>
    <xdr:clientData/>
  </xdr:twoCellAnchor>
  <xdr:twoCellAnchor>
    <xdr:from>
      <xdr:col>2</xdr:col>
      <xdr:colOff>130641</xdr:colOff>
      <xdr:row>39</xdr:row>
      <xdr:rowOff>174813</xdr:rowOff>
    </xdr:from>
    <xdr:to>
      <xdr:col>3</xdr:col>
      <xdr:colOff>624615</xdr:colOff>
      <xdr:row>43</xdr:row>
      <xdr:rowOff>125283</xdr:rowOff>
    </xdr:to>
    <xdr:sp macro="" textlink="">
      <xdr:nvSpPr>
        <xdr:cNvPr id="11" name="Прямоугольник: один усеченный угол 10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SpPr/>
      </xdr:nvSpPr>
      <xdr:spPr>
        <a:xfrm>
          <a:off x="1201923" y="7391401"/>
          <a:ext cx="1296316" cy="685576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Чувствительность</a:t>
          </a:r>
        </a:p>
      </xdr:txBody>
    </xdr:sp>
    <xdr:clientData/>
  </xdr:twoCellAnchor>
  <xdr:twoCellAnchor>
    <xdr:from>
      <xdr:col>2</xdr:col>
      <xdr:colOff>122125</xdr:colOff>
      <xdr:row>45</xdr:row>
      <xdr:rowOff>175260</xdr:rowOff>
    </xdr:from>
    <xdr:to>
      <xdr:col>3</xdr:col>
      <xdr:colOff>616099</xdr:colOff>
      <xdr:row>47</xdr:row>
      <xdr:rowOff>114300</xdr:rowOff>
    </xdr:to>
    <xdr:sp macro="" textlink="">
      <xdr:nvSpPr>
        <xdr:cNvPr id="35" name="Прямоугольник: один усеченный угол 34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2600-000023000000}"/>
            </a:ext>
          </a:extLst>
        </xdr:cNvPr>
        <xdr:cNvSpPr/>
      </xdr:nvSpPr>
      <xdr:spPr>
        <a:xfrm>
          <a:off x="1193407" y="8494507"/>
          <a:ext cx="1296316" cy="306593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WACC</a:t>
          </a:r>
          <a:endParaRPr lang="ru-RU" sz="11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563880</xdr:colOff>
      <xdr:row>38</xdr:row>
      <xdr:rowOff>97267</xdr:rowOff>
    </xdr:from>
    <xdr:to>
      <xdr:col>7</xdr:col>
      <xdr:colOff>618565</xdr:colOff>
      <xdr:row>42</xdr:row>
      <xdr:rowOff>84014</xdr:rowOff>
    </xdr:to>
    <xdr:sp macro="" textlink="">
      <xdr:nvSpPr>
        <xdr:cNvPr id="34" name="Прямоугольник: один усеченный угол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2600-000022000000}"/>
            </a:ext>
          </a:extLst>
        </xdr:cNvPr>
        <xdr:cNvSpPr/>
      </xdr:nvSpPr>
      <xdr:spPr>
        <a:xfrm>
          <a:off x="3078480" y="7130079"/>
          <a:ext cx="1977614" cy="721853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Итоговые</a:t>
          </a:r>
          <a:r>
            <a:rPr lang="ru-RU" sz="11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таблицы для файла описания проекта</a:t>
          </a:r>
          <a:endParaRPr lang="ru-RU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15</xdr:col>
      <xdr:colOff>430530</xdr:colOff>
      <xdr:row>27</xdr:row>
      <xdr:rowOff>34290</xdr:rowOff>
    </xdr:from>
    <xdr:to>
      <xdr:col>17</xdr:col>
      <xdr:colOff>384480</xdr:colOff>
      <xdr:row>30</xdr:row>
      <xdr:rowOff>9274</xdr:rowOff>
    </xdr:to>
    <xdr:sp macro="" textlink="">
      <xdr:nvSpPr>
        <xdr:cNvPr id="137" name="Прямоугольник: один усеченный угол 136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2600-000089000000}"/>
            </a:ext>
          </a:extLst>
        </xdr:cNvPr>
        <xdr:cNvSpPr/>
      </xdr:nvSpPr>
      <xdr:spPr>
        <a:xfrm>
          <a:off x="9978390" y="5021580"/>
          <a:ext cx="1234110" cy="523624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Рсчет налога на землю</a:t>
          </a:r>
        </a:p>
      </xdr:txBody>
    </xdr:sp>
    <xdr:clientData/>
  </xdr:twoCellAnchor>
  <xdr:twoCellAnchor>
    <xdr:from>
      <xdr:col>17</xdr:col>
      <xdr:colOff>609599</xdr:colOff>
      <xdr:row>28</xdr:row>
      <xdr:rowOff>116541</xdr:rowOff>
    </xdr:from>
    <xdr:to>
      <xdr:col>19</xdr:col>
      <xdr:colOff>445769</xdr:colOff>
      <xdr:row>32</xdr:row>
      <xdr:rowOff>13448</xdr:rowOff>
    </xdr:to>
    <xdr:sp macro="" textlink="">
      <xdr:nvSpPr>
        <xdr:cNvPr id="138" name="Прямоугольник: один усеченный угол 137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2600-00008A000000}"/>
            </a:ext>
          </a:extLst>
        </xdr:cNvPr>
        <xdr:cNvSpPr/>
      </xdr:nvSpPr>
      <xdr:spPr>
        <a:xfrm>
          <a:off x="11456893" y="5311588"/>
          <a:ext cx="1118123" cy="632013"/>
        </a:xfrm>
        <a:prstGeom prst="snip1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20000"/>
              <a:lumOff val="8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Свод налогов</a:t>
          </a:r>
          <a:r>
            <a:rPr lang="ru-RU" sz="11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и льгот</a:t>
          </a:r>
          <a:endParaRPr lang="ru-RU" sz="11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527684</xdr:colOff>
      <xdr:row>18</xdr:row>
      <xdr:rowOff>95417</xdr:rowOff>
    </xdr:from>
    <xdr:to>
      <xdr:col>19</xdr:col>
      <xdr:colOff>114300</xdr:colOff>
      <xdr:row>28</xdr:row>
      <xdr:rowOff>116541</xdr:rowOff>
    </xdr:to>
    <xdr:cxnSp macro="">
      <xdr:nvCxnSpPr>
        <xdr:cNvPr id="139" name="Прямая со стрелкой 138">
          <a:extLst>
            <a:ext uri="{FF2B5EF4-FFF2-40B4-BE49-F238E27FC236}">
              <a16:creationId xmlns:a16="http://schemas.microsoft.com/office/drawing/2014/main" id="{00000000-0008-0000-2600-00008B000000}"/>
            </a:ext>
          </a:extLst>
        </xdr:cNvPr>
        <xdr:cNvCxnSpPr>
          <a:stCxn id="70" idx="0"/>
          <a:endCxn id="138" idx="3"/>
        </xdr:cNvCxnSpPr>
      </xdr:nvCxnSpPr>
      <xdr:spPr>
        <a:xfrm flipH="1">
          <a:off x="12015955" y="3452699"/>
          <a:ext cx="227592" cy="1858889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443120</xdr:colOff>
      <xdr:row>21</xdr:row>
      <xdr:rowOff>132225</xdr:rowOff>
    </xdr:from>
    <xdr:to>
      <xdr:col>18</xdr:col>
      <xdr:colOff>527684</xdr:colOff>
      <xdr:row>28</xdr:row>
      <xdr:rowOff>116541</xdr:rowOff>
    </xdr:to>
    <xdr:cxnSp macro="">
      <xdr:nvCxnSpPr>
        <xdr:cNvPr id="143" name="Прямая со стрелкой 142">
          <a:extLst>
            <a:ext uri="{FF2B5EF4-FFF2-40B4-BE49-F238E27FC236}">
              <a16:creationId xmlns:a16="http://schemas.microsoft.com/office/drawing/2014/main" id="{00000000-0008-0000-2600-00008F000000}"/>
            </a:ext>
          </a:extLst>
        </xdr:cNvPr>
        <xdr:cNvCxnSpPr>
          <a:stCxn id="71" idx="0"/>
          <a:endCxn id="138" idx="3"/>
        </xdr:cNvCxnSpPr>
      </xdr:nvCxnSpPr>
      <xdr:spPr>
        <a:xfrm>
          <a:off x="11931391" y="4040837"/>
          <a:ext cx="84564" cy="1270751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153560</xdr:colOff>
      <xdr:row>25</xdr:row>
      <xdr:rowOff>630</xdr:rowOff>
    </xdr:from>
    <xdr:to>
      <xdr:col>18</xdr:col>
      <xdr:colOff>527684</xdr:colOff>
      <xdr:row>28</xdr:row>
      <xdr:rowOff>116541</xdr:rowOff>
    </xdr:to>
    <xdr:cxnSp macro="">
      <xdr:nvCxnSpPr>
        <xdr:cNvPr id="147" name="Прямая со стрелкой 146">
          <a:extLst>
            <a:ext uri="{FF2B5EF4-FFF2-40B4-BE49-F238E27FC236}">
              <a16:creationId xmlns:a16="http://schemas.microsoft.com/office/drawing/2014/main" id="{00000000-0008-0000-2600-000093000000}"/>
            </a:ext>
          </a:extLst>
        </xdr:cNvPr>
        <xdr:cNvCxnSpPr>
          <a:stCxn id="72" idx="0"/>
          <a:endCxn id="138" idx="3"/>
        </xdr:cNvCxnSpPr>
      </xdr:nvCxnSpPr>
      <xdr:spPr>
        <a:xfrm>
          <a:off x="11641831" y="4644348"/>
          <a:ext cx="374124" cy="66724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384480</xdr:colOff>
      <xdr:row>28</xdr:row>
      <xdr:rowOff>113671</xdr:rowOff>
    </xdr:from>
    <xdr:to>
      <xdr:col>18</xdr:col>
      <xdr:colOff>527684</xdr:colOff>
      <xdr:row>28</xdr:row>
      <xdr:rowOff>116541</xdr:rowOff>
    </xdr:to>
    <xdr:cxnSp macro="">
      <xdr:nvCxnSpPr>
        <xdr:cNvPr id="150" name="Прямая со стрелкой 149">
          <a:extLst>
            <a:ext uri="{FF2B5EF4-FFF2-40B4-BE49-F238E27FC236}">
              <a16:creationId xmlns:a16="http://schemas.microsoft.com/office/drawing/2014/main" id="{00000000-0008-0000-2600-000096000000}"/>
            </a:ext>
          </a:extLst>
        </xdr:cNvPr>
        <xdr:cNvCxnSpPr>
          <a:stCxn id="137" idx="0"/>
          <a:endCxn id="138" idx="3"/>
        </xdr:cNvCxnSpPr>
      </xdr:nvCxnSpPr>
      <xdr:spPr>
        <a:xfrm>
          <a:off x="11231774" y="5308718"/>
          <a:ext cx="784181" cy="2870"/>
        </a:xfrm>
        <a:prstGeom prst="straightConnector1">
          <a:avLst/>
        </a:prstGeom>
        <a:ln w="12700" cap="rnd">
          <a:solidFill>
            <a:schemeClr val="accent6">
              <a:lumMod val="40000"/>
              <a:lumOff val="6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334616</xdr:colOff>
      <xdr:row>20</xdr:row>
      <xdr:rowOff>135834</xdr:rowOff>
    </xdr:from>
    <xdr:to>
      <xdr:col>15</xdr:col>
      <xdr:colOff>639416</xdr:colOff>
      <xdr:row>24</xdr:row>
      <xdr:rowOff>122581</xdr:rowOff>
    </xdr:to>
    <xdr:sp macro="" textlink="">
      <xdr:nvSpPr>
        <xdr:cNvPr id="78" name="Прямоугольник: один усеченный угол 77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2600-00004E000000}"/>
            </a:ext>
          </a:extLst>
        </xdr:cNvPr>
        <xdr:cNvSpPr/>
      </xdr:nvSpPr>
      <xdr:spPr>
        <a:xfrm>
          <a:off x="8600659" y="3829877"/>
          <a:ext cx="1583635" cy="715617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Баланс</a:t>
          </a:r>
        </a:p>
      </xdr:txBody>
    </xdr:sp>
    <xdr:clientData/>
  </xdr:twoCellAnchor>
  <xdr:twoCellAnchor>
    <xdr:from>
      <xdr:col>4</xdr:col>
      <xdr:colOff>555811</xdr:colOff>
      <xdr:row>43</xdr:row>
      <xdr:rowOff>85165</xdr:rowOff>
    </xdr:from>
    <xdr:to>
      <xdr:col>7</xdr:col>
      <xdr:colOff>600635</xdr:colOff>
      <xdr:row>47</xdr:row>
      <xdr:rowOff>71912</xdr:rowOff>
    </xdr:to>
    <xdr:sp macro="" textlink="">
      <xdr:nvSpPr>
        <xdr:cNvPr id="60" name="Прямоугольник: один усеченный угол 59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2600-00003C000000}"/>
            </a:ext>
          </a:extLst>
        </xdr:cNvPr>
        <xdr:cNvSpPr/>
      </xdr:nvSpPr>
      <xdr:spPr>
        <a:xfrm>
          <a:off x="3070411" y="8036859"/>
          <a:ext cx="1967753" cy="721853"/>
        </a:xfrm>
        <a:prstGeom prst="snip1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Графики для файла описания проекта</a:t>
          </a:r>
          <a:endParaRPr lang="ru-RU" sz="11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237565</xdr:colOff>
      <xdr:row>47</xdr:row>
      <xdr:rowOff>94129</xdr:rowOff>
    </xdr:from>
    <xdr:to>
      <xdr:col>11</xdr:col>
      <xdr:colOff>543028</xdr:colOff>
      <xdr:row>50</xdr:row>
      <xdr:rowOff>28181</xdr:rowOff>
    </xdr:to>
    <xdr:sp macro="" textlink="">
      <xdr:nvSpPr>
        <xdr:cNvPr id="23" name="Прямоугольник: один усеченный угол 22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2600-000017000000}"/>
            </a:ext>
          </a:extLst>
        </xdr:cNvPr>
        <xdr:cNvSpPr/>
      </xdr:nvSpPr>
      <xdr:spPr>
        <a:xfrm>
          <a:off x="5957047" y="8780929"/>
          <a:ext cx="1587416" cy="485381"/>
        </a:xfrm>
        <a:prstGeom prst="snip1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Дашборд № 1</a:t>
          </a:r>
        </a:p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(с льготами)</a:t>
          </a:r>
        </a:p>
      </xdr:txBody>
    </xdr:sp>
    <xdr:clientData/>
  </xdr:twoCellAnchor>
  <xdr:twoCellAnchor>
    <xdr:from>
      <xdr:col>1</xdr:col>
      <xdr:colOff>564776</xdr:colOff>
      <xdr:row>3</xdr:row>
      <xdr:rowOff>121024</xdr:rowOff>
    </xdr:from>
    <xdr:to>
      <xdr:col>4</xdr:col>
      <xdr:colOff>510988</xdr:colOff>
      <xdr:row>9</xdr:row>
      <xdr:rowOff>161365</xdr:rowOff>
    </xdr:to>
    <xdr:sp macro="" textlink="">
      <xdr:nvSpPr>
        <xdr:cNvPr id="12" name="Прямоугольник: скругленные углы 11">
          <a:extLst>
            <a:ext uri="{FF2B5EF4-FFF2-40B4-BE49-F238E27FC236}">
              <a16:creationId xmlns:a16="http://schemas.microsoft.com/office/drawing/2014/main" id="{00000000-0008-0000-2600-00000C000000}"/>
            </a:ext>
          </a:extLst>
        </xdr:cNvPr>
        <xdr:cNvSpPr/>
      </xdr:nvSpPr>
      <xdr:spPr>
        <a:xfrm>
          <a:off x="833717" y="721659"/>
          <a:ext cx="2191871" cy="1143000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Данный</a:t>
          </a:r>
          <a:r>
            <a:rPr lang="ru-RU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лист нужен будет для исполнителей для визуализации зависимостей в ФЭМ</a:t>
          </a:r>
          <a:endParaRPr lang="ru-RU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179294</xdr:colOff>
      <xdr:row>47</xdr:row>
      <xdr:rowOff>107576</xdr:rowOff>
    </xdr:from>
    <xdr:to>
      <xdr:col>18</xdr:col>
      <xdr:colOff>484757</xdr:colOff>
      <xdr:row>50</xdr:row>
      <xdr:rowOff>41628</xdr:rowOff>
    </xdr:to>
    <xdr:sp macro="" textlink="">
      <xdr:nvSpPr>
        <xdr:cNvPr id="15" name="Прямоугольник: один усеченный угол 14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2600-00000F000000}"/>
            </a:ext>
          </a:extLst>
        </xdr:cNvPr>
        <xdr:cNvSpPr/>
      </xdr:nvSpPr>
      <xdr:spPr>
        <a:xfrm>
          <a:off x="10385612" y="8794376"/>
          <a:ext cx="1587416" cy="485381"/>
        </a:xfrm>
        <a:prstGeom prst="snip1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Дашборд налоги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3856384</xdr:colOff>
      <xdr:row>1</xdr:row>
      <xdr:rowOff>23191</xdr:rowOff>
    </xdr:from>
    <xdr:to>
      <xdr:col>1</xdr:col>
      <xdr:colOff>4815508</xdr:colOff>
      <xdr:row>1</xdr:row>
      <xdr:rowOff>297179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4621697" y="255104"/>
          <a:ext cx="959124" cy="273988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/>
            <a:t>Оглавление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7</xdr:row>
          <xdr:rowOff>28575</xdr:rowOff>
        </xdr:from>
        <xdr:to>
          <xdr:col>5</xdr:col>
          <xdr:colOff>476250</xdr:colOff>
          <xdr:row>7</xdr:row>
          <xdr:rowOff>238125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27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9</xdr:row>
          <xdr:rowOff>57150</xdr:rowOff>
        </xdr:from>
        <xdr:to>
          <xdr:col>5</xdr:col>
          <xdr:colOff>476250</xdr:colOff>
          <xdr:row>9</xdr:row>
          <xdr:rowOff>266700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27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5</xdr:row>
          <xdr:rowOff>361950</xdr:rowOff>
        </xdr:from>
        <xdr:to>
          <xdr:col>5</xdr:col>
          <xdr:colOff>457200</xdr:colOff>
          <xdr:row>5</xdr:row>
          <xdr:rowOff>561975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27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57150</xdr:rowOff>
        </xdr:from>
        <xdr:to>
          <xdr:col>5</xdr:col>
          <xdr:colOff>476250</xdr:colOff>
          <xdr:row>11</xdr:row>
          <xdr:rowOff>266700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27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13</xdr:row>
          <xdr:rowOff>57150</xdr:rowOff>
        </xdr:from>
        <xdr:to>
          <xdr:col>5</xdr:col>
          <xdr:colOff>476250</xdr:colOff>
          <xdr:row>13</xdr:row>
          <xdr:rowOff>266700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27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15</xdr:row>
          <xdr:rowOff>57150</xdr:rowOff>
        </xdr:from>
        <xdr:to>
          <xdr:col>5</xdr:col>
          <xdr:colOff>476250</xdr:colOff>
          <xdr:row>15</xdr:row>
          <xdr:rowOff>266700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27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17</xdr:row>
          <xdr:rowOff>57150</xdr:rowOff>
        </xdr:from>
        <xdr:to>
          <xdr:col>5</xdr:col>
          <xdr:colOff>476250</xdr:colOff>
          <xdr:row>17</xdr:row>
          <xdr:rowOff>266700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27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19</xdr:row>
          <xdr:rowOff>133350</xdr:rowOff>
        </xdr:from>
        <xdr:to>
          <xdr:col>5</xdr:col>
          <xdr:colOff>466725</xdr:colOff>
          <xdr:row>19</xdr:row>
          <xdr:rowOff>333375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27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57150</xdr:rowOff>
        </xdr:from>
        <xdr:to>
          <xdr:col>5</xdr:col>
          <xdr:colOff>476250</xdr:colOff>
          <xdr:row>21</xdr:row>
          <xdr:rowOff>266700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  <a:ext uri="{FF2B5EF4-FFF2-40B4-BE49-F238E27FC236}">
                  <a16:creationId xmlns:a16="http://schemas.microsoft.com/office/drawing/2014/main" id="{00000000-0008-0000-2700-00001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23</xdr:row>
          <xdr:rowOff>57150</xdr:rowOff>
        </xdr:from>
        <xdr:to>
          <xdr:col>5</xdr:col>
          <xdr:colOff>476250</xdr:colOff>
          <xdr:row>23</xdr:row>
          <xdr:rowOff>266700</xdr:rowOff>
        </xdr:to>
        <xdr:sp macro="" textlink="">
          <xdr:nvSpPr>
            <xdr:cNvPr id="36891" name="Check Box 27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27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25</xdr:row>
          <xdr:rowOff>57150</xdr:rowOff>
        </xdr:from>
        <xdr:to>
          <xdr:col>5</xdr:col>
          <xdr:colOff>476250</xdr:colOff>
          <xdr:row>25</xdr:row>
          <xdr:rowOff>266700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27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27</xdr:row>
          <xdr:rowOff>57150</xdr:rowOff>
        </xdr:from>
        <xdr:to>
          <xdr:col>5</xdr:col>
          <xdr:colOff>476250</xdr:colOff>
          <xdr:row>27</xdr:row>
          <xdr:rowOff>266700</xdr:rowOff>
        </xdr:to>
        <xdr:sp macro="" textlink="">
          <xdr:nvSpPr>
            <xdr:cNvPr id="36893" name="Check Box 29" hidden="1">
              <a:extLst>
                <a:ext uri="{63B3BB69-23CF-44E3-9099-C40C66FF867C}">
                  <a14:compatExt spid="_x0000_s36893"/>
                </a:ext>
                <a:ext uri="{FF2B5EF4-FFF2-40B4-BE49-F238E27FC236}">
                  <a16:creationId xmlns:a16="http://schemas.microsoft.com/office/drawing/2014/main" id="{00000000-0008-0000-2700-00001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29</xdr:row>
          <xdr:rowOff>57150</xdr:rowOff>
        </xdr:from>
        <xdr:to>
          <xdr:col>5</xdr:col>
          <xdr:colOff>476250</xdr:colOff>
          <xdr:row>29</xdr:row>
          <xdr:rowOff>266700</xdr:rowOff>
        </xdr:to>
        <xdr:sp macro="" textlink="">
          <xdr:nvSpPr>
            <xdr:cNvPr id="36894" name="Check Box 30" hidden="1">
              <a:extLst>
                <a:ext uri="{63B3BB69-23CF-44E3-9099-C40C66FF867C}">
                  <a14:compatExt spid="_x0000_s36894"/>
                </a:ext>
                <a:ext uri="{FF2B5EF4-FFF2-40B4-BE49-F238E27FC236}">
                  <a16:creationId xmlns:a16="http://schemas.microsoft.com/office/drawing/2014/main" id="{00000000-0008-0000-2700-00001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31</xdr:row>
          <xdr:rowOff>57150</xdr:rowOff>
        </xdr:from>
        <xdr:to>
          <xdr:col>5</xdr:col>
          <xdr:colOff>476250</xdr:colOff>
          <xdr:row>31</xdr:row>
          <xdr:rowOff>266700</xdr:rowOff>
        </xdr:to>
        <xdr:sp macro="" textlink="">
          <xdr:nvSpPr>
            <xdr:cNvPr id="36895" name="Check Box 31" hidden="1">
              <a:extLst>
                <a:ext uri="{63B3BB69-23CF-44E3-9099-C40C66FF867C}">
                  <a14:compatExt spid="_x0000_s36895"/>
                </a:ext>
                <a:ext uri="{FF2B5EF4-FFF2-40B4-BE49-F238E27FC236}">
                  <a16:creationId xmlns:a16="http://schemas.microsoft.com/office/drawing/2014/main" id="{00000000-0008-0000-2700-00001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33</xdr:row>
          <xdr:rowOff>57150</xdr:rowOff>
        </xdr:from>
        <xdr:to>
          <xdr:col>5</xdr:col>
          <xdr:colOff>476250</xdr:colOff>
          <xdr:row>33</xdr:row>
          <xdr:rowOff>266700</xdr:rowOff>
        </xdr:to>
        <xdr:sp macro="" textlink="">
          <xdr:nvSpPr>
            <xdr:cNvPr id="36896" name="Check Box 32" hidden="1">
              <a:extLst>
                <a:ext uri="{63B3BB69-23CF-44E3-9099-C40C66FF867C}">
                  <a14:compatExt spid="_x0000_s36896"/>
                </a:ext>
                <a:ext uri="{FF2B5EF4-FFF2-40B4-BE49-F238E27FC236}">
                  <a16:creationId xmlns:a16="http://schemas.microsoft.com/office/drawing/2014/main" id="{00000000-0008-0000-2700-00002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35</xdr:row>
          <xdr:rowOff>57150</xdr:rowOff>
        </xdr:from>
        <xdr:to>
          <xdr:col>5</xdr:col>
          <xdr:colOff>476250</xdr:colOff>
          <xdr:row>35</xdr:row>
          <xdr:rowOff>266700</xdr:rowOff>
        </xdr:to>
        <xdr:sp macro="" textlink="">
          <xdr:nvSpPr>
            <xdr:cNvPr id="36897" name="Check Box 33" hidden="1">
              <a:extLst>
                <a:ext uri="{63B3BB69-23CF-44E3-9099-C40C66FF867C}">
                  <a14:compatExt spid="_x0000_s36897"/>
                </a:ext>
                <a:ext uri="{FF2B5EF4-FFF2-40B4-BE49-F238E27FC236}">
                  <a16:creationId xmlns:a16="http://schemas.microsoft.com/office/drawing/2014/main" id="{00000000-0008-0000-2700-00002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37</xdr:row>
          <xdr:rowOff>57150</xdr:rowOff>
        </xdr:from>
        <xdr:to>
          <xdr:col>5</xdr:col>
          <xdr:colOff>476250</xdr:colOff>
          <xdr:row>37</xdr:row>
          <xdr:rowOff>266700</xdr:rowOff>
        </xdr:to>
        <xdr:sp macro="" textlink="">
          <xdr:nvSpPr>
            <xdr:cNvPr id="36898" name="Check Box 34" hidden="1">
              <a:extLst>
                <a:ext uri="{63B3BB69-23CF-44E3-9099-C40C66FF867C}">
                  <a14:compatExt spid="_x0000_s36898"/>
                </a:ext>
                <a:ext uri="{FF2B5EF4-FFF2-40B4-BE49-F238E27FC236}">
                  <a16:creationId xmlns:a16="http://schemas.microsoft.com/office/drawing/2014/main" id="{00000000-0008-0000-2700-00002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39</xdr:row>
          <xdr:rowOff>57150</xdr:rowOff>
        </xdr:from>
        <xdr:to>
          <xdr:col>5</xdr:col>
          <xdr:colOff>476250</xdr:colOff>
          <xdr:row>39</xdr:row>
          <xdr:rowOff>266700</xdr:rowOff>
        </xdr:to>
        <xdr:sp macro="" textlink="">
          <xdr:nvSpPr>
            <xdr:cNvPr id="36899" name="Check Box 35" hidden="1">
              <a:extLst>
                <a:ext uri="{63B3BB69-23CF-44E3-9099-C40C66FF867C}">
                  <a14:compatExt spid="_x0000_s36899"/>
                </a:ext>
                <a:ext uri="{FF2B5EF4-FFF2-40B4-BE49-F238E27FC236}">
                  <a16:creationId xmlns:a16="http://schemas.microsoft.com/office/drawing/2014/main" id="{00000000-0008-0000-2700-00002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0</xdr:rowOff>
        </xdr:from>
        <xdr:to>
          <xdr:col>5</xdr:col>
          <xdr:colOff>476250</xdr:colOff>
          <xdr:row>41</xdr:row>
          <xdr:rowOff>209550</xdr:rowOff>
        </xdr:to>
        <xdr:sp macro="" textlink="">
          <xdr:nvSpPr>
            <xdr:cNvPr id="36900" name="Check Box 36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27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0</xdr:rowOff>
        </xdr:from>
        <xdr:to>
          <xdr:col>5</xdr:col>
          <xdr:colOff>476250</xdr:colOff>
          <xdr:row>41</xdr:row>
          <xdr:rowOff>209550</xdr:rowOff>
        </xdr:to>
        <xdr:sp macro="" textlink="">
          <xdr:nvSpPr>
            <xdr:cNvPr id="36901" name="Check Box 37" hidden="1">
              <a:extLst>
                <a:ext uri="{63B3BB69-23CF-44E3-9099-C40C66FF867C}">
                  <a14:compatExt spid="_x0000_s36901"/>
                </a:ext>
                <a:ext uri="{FF2B5EF4-FFF2-40B4-BE49-F238E27FC236}">
                  <a16:creationId xmlns:a16="http://schemas.microsoft.com/office/drawing/2014/main" id="{00000000-0008-0000-2700-00002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57150</xdr:rowOff>
        </xdr:from>
        <xdr:to>
          <xdr:col>5</xdr:col>
          <xdr:colOff>476250</xdr:colOff>
          <xdr:row>41</xdr:row>
          <xdr:rowOff>266700</xdr:rowOff>
        </xdr:to>
        <xdr:sp macro="" textlink="">
          <xdr:nvSpPr>
            <xdr:cNvPr id="36902" name="Check Box 38" hidden="1">
              <a:extLst>
                <a:ext uri="{63B3BB69-23CF-44E3-9099-C40C66FF867C}">
                  <a14:compatExt spid="_x0000_s36902"/>
                </a:ext>
                <a:ext uri="{FF2B5EF4-FFF2-40B4-BE49-F238E27FC236}">
                  <a16:creationId xmlns:a16="http://schemas.microsoft.com/office/drawing/2014/main" id="{00000000-0008-0000-2700-00002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41</xdr:row>
          <xdr:rowOff>47625</xdr:rowOff>
        </xdr:from>
        <xdr:to>
          <xdr:col>5</xdr:col>
          <xdr:colOff>476250</xdr:colOff>
          <xdr:row>41</xdr:row>
          <xdr:rowOff>257175</xdr:rowOff>
        </xdr:to>
        <xdr:sp macro="" textlink="">
          <xdr:nvSpPr>
            <xdr:cNvPr id="36903" name="Check Box 39" hidden="1">
              <a:extLst>
                <a:ext uri="{63B3BB69-23CF-44E3-9099-C40C66FF867C}">
                  <a14:compatExt spid="_x0000_s36903"/>
                </a:ext>
                <a:ext uri="{FF2B5EF4-FFF2-40B4-BE49-F238E27FC236}">
                  <a16:creationId xmlns:a16="http://schemas.microsoft.com/office/drawing/2014/main" id="{00000000-0008-0000-2700-00002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11429</xdr:colOff>
      <xdr:row>4</xdr:row>
      <xdr:rowOff>50650</xdr:rowOff>
    </xdr:from>
    <xdr:to>
      <xdr:col>2</xdr:col>
      <xdr:colOff>731429</xdr:colOff>
      <xdr:row>4</xdr:row>
      <xdr:rowOff>410650</xdr:rowOff>
    </xdr:to>
    <xdr:sp macro="" textlink="КПЭбезЛьгот!#REF!">
      <xdr:nvSpPr>
        <xdr:cNvPr id="2" name="Прямоугольник: скругленные углы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2118135" y="651285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46DA3EEF-8407-4228-98D3-FFF5A58B1BE0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100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11</xdr:row>
      <xdr:rowOff>76200</xdr:rowOff>
    </xdr:from>
    <xdr:to>
      <xdr:col>2</xdr:col>
      <xdr:colOff>720000</xdr:colOff>
      <xdr:row>11</xdr:row>
      <xdr:rowOff>436200</xdr:rowOff>
    </xdr:to>
    <xdr:sp macro="" textlink="КПЭ!#REF!">
      <xdr:nvSpPr>
        <xdr:cNvPr id="3" name="Прямоугольник: скругленные углы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/>
      </xdr:nvSpPr>
      <xdr:spPr>
        <a:xfrm>
          <a:off x="2103120" y="475488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7884A1F-9966-4914-855A-120342673DD3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120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13671</xdr:colOff>
      <xdr:row>12</xdr:row>
      <xdr:rowOff>104663</xdr:rowOff>
    </xdr:from>
    <xdr:to>
      <xdr:col>2</xdr:col>
      <xdr:colOff>712695</xdr:colOff>
      <xdr:row>12</xdr:row>
      <xdr:rowOff>464663</xdr:rowOff>
    </xdr:to>
    <xdr:sp macro="" textlink="КПЭбезЛьгот!#REF!">
      <xdr:nvSpPr>
        <xdr:cNvPr id="4" name="Прямоугольник: скругленные углы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2116791" y="5366273"/>
          <a:ext cx="699024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FB240EF7-E801-4F7E-B48E-D7726323F668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100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17929</xdr:colOff>
      <xdr:row>13</xdr:row>
      <xdr:rowOff>137160</xdr:rowOff>
    </xdr:from>
    <xdr:to>
      <xdr:col>2</xdr:col>
      <xdr:colOff>719999</xdr:colOff>
      <xdr:row>13</xdr:row>
      <xdr:rowOff>497160</xdr:rowOff>
    </xdr:to>
    <xdr:sp macro="" textlink="КПЭбезЛьгот!#REF!">
      <xdr:nvSpPr>
        <xdr:cNvPr id="5" name="Прямоугольник: скругленные углы 4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SpPr/>
      </xdr:nvSpPr>
      <xdr:spPr>
        <a:xfrm>
          <a:off x="2121049" y="5981700"/>
          <a:ext cx="70207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D215B8F-93AB-4A60-91B1-F33EE4EA92EC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800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97491</xdr:colOff>
      <xdr:row>4</xdr:row>
      <xdr:rowOff>64098</xdr:rowOff>
    </xdr:from>
    <xdr:to>
      <xdr:col>7</xdr:col>
      <xdr:colOff>6186</xdr:colOff>
      <xdr:row>4</xdr:row>
      <xdr:rowOff>424098</xdr:rowOff>
    </xdr:to>
    <xdr:sp macro="" textlink="КПЭбезЛьгот!#REF!">
      <xdr:nvSpPr>
        <xdr:cNvPr id="7" name="Прямоугольник: скругленные углы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SpPr/>
      </xdr:nvSpPr>
      <xdr:spPr>
        <a:xfrm>
          <a:off x="14557562" y="664733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5691F78-091B-47B4-A9F2-E4EE3BE67D74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44 </a:t>
          </a:fld>
          <a:endParaRPr lang="ru-RU" sz="14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76199</xdr:colOff>
      <xdr:row>7</xdr:row>
      <xdr:rowOff>7620</xdr:rowOff>
    </xdr:from>
    <xdr:to>
      <xdr:col>6</xdr:col>
      <xdr:colOff>796199</xdr:colOff>
      <xdr:row>7</xdr:row>
      <xdr:rowOff>367620</xdr:rowOff>
    </xdr:to>
    <xdr:sp macro="" textlink="КПЭбезЛьгот!#REF!">
      <xdr:nvSpPr>
        <xdr:cNvPr id="8" name="Прямоугольник: скругленные углы 7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SpPr/>
      </xdr:nvSpPr>
      <xdr:spPr>
        <a:xfrm>
          <a:off x="14531339" y="235458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8AA7C4F1-4C2D-45D4-9ECA-0698CA41A42E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26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76199</xdr:colOff>
      <xdr:row>8</xdr:row>
      <xdr:rowOff>19050</xdr:rowOff>
    </xdr:from>
    <xdr:to>
      <xdr:col>6</xdr:col>
      <xdr:colOff>796199</xdr:colOff>
      <xdr:row>8</xdr:row>
      <xdr:rowOff>379050</xdr:rowOff>
    </xdr:to>
    <xdr:sp macro="" textlink="КПЭбезЛьгот!#REF!">
      <xdr:nvSpPr>
        <xdr:cNvPr id="9" name="Прямоугольник: скругленные углы 8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SpPr/>
      </xdr:nvSpPr>
      <xdr:spPr>
        <a:xfrm>
          <a:off x="14531339" y="294894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916C7C9-E645-4681-82A2-7F8AC3A76C4A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336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87630</xdr:colOff>
      <xdr:row>10</xdr:row>
      <xdr:rowOff>45720</xdr:rowOff>
    </xdr:from>
    <xdr:to>
      <xdr:col>6</xdr:col>
      <xdr:colOff>807630</xdr:colOff>
      <xdr:row>10</xdr:row>
      <xdr:rowOff>405720</xdr:rowOff>
    </xdr:to>
    <xdr:sp macro="" textlink="КПЭбезЛьгот!#REF!">
      <xdr:nvSpPr>
        <xdr:cNvPr id="10" name="Прямоугольник: скругленные углы 9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SpPr/>
      </xdr:nvSpPr>
      <xdr:spPr>
        <a:xfrm>
          <a:off x="14542770" y="414147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0BEFFD4B-0EDA-4EB2-A9D3-71104BC32E0D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930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18151</xdr:colOff>
      <xdr:row>8</xdr:row>
      <xdr:rowOff>84493</xdr:rowOff>
    </xdr:from>
    <xdr:to>
      <xdr:col>3</xdr:col>
      <xdr:colOff>116541</xdr:colOff>
      <xdr:row>8</xdr:row>
      <xdr:rowOff>444493</xdr:rowOff>
    </xdr:to>
    <xdr:sp macro="" textlink="КПЭбезЛьгот!#REF!">
      <xdr:nvSpPr>
        <xdr:cNvPr id="13" name="Прямоугольник: скругленные углы 12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SpPr/>
      </xdr:nvSpPr>
      <xdr:spPr>
        <a:xfrm>
          <a:off x="2124857" y="3015952"/>
          <a:ext cx="909696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B4F98CA-AF03-4C4D-AC3D-16A83436232E}" type="TxLink">
            <a:rPr lang="en-US" sz="11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01.04.2025</a:t>
          </a:fld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11428</xdr:colOff>
      <xdr:row>9</xdr:row>
      <xdr:rowOff>114300</xdr:rowOff>
    </xdr:from>
    <xdr:to>
      <xdr:col>3</xdr:col>
      <xdr:colOff>95249</xdr:colOff>
      <xdr:row>9</xdr:row>
      <xdr:rowOff>474300</xdr:rowOff>
    </xdr:to>
    <xdr:sp macro="" textlink="КПЭбезЛьгот!#REF!">
      <xdr:nvSpPr>
        <xdr:cNvPr id="14" name="Прямоугольник: скругленные углы 13">
          <a:extLst>
            <a:ext uri="{FF2B5EF4-FFF2-40B4-BE49-F238E27FC236}">
              <a16:creationId xmlns:a16="http://schemas.microsoft.com/office/drawing/2014/main" id="{00000000-0008-0000-2800-00000E000000}"/>
            </a:ext>
          </a:extLst>
        </xdr:cNvPr>
        <xdr:cNvSpPr/>
      </xdr:nvSpPr>
      <xdr:spPr>
        <a:xfrm>
          <a:off x="2114548" y="3627120"/>
          <a:ext cx="895351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7A6653DE-D8CF-4058-BEAF-093040318077}" type="TxLink">
            <a:rPr lang="en-US" sz="11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01.10.2026</a:t>
          </a:fld>
          <a:endParaRPr lang="ru-RU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68579</xdr:colOff>
      <xdr:row>5</xdr:row>
      <xdr:rowOff>91440</xdr:rowOff>
    </xdr:from>
    <xdr:to>
      <xdr:col>6</xdr:col>
      <xdr:colOff>788579</xdr:colOff>
      <xdr:row>5</xdr:row>
      <xdr:rowOff>451440</xdr:rowOff>
    </xdr:to>
    <xdr:sp macro="" textlink="КПЭбезЛьгот!#REF!">
      <xdr:nvSpPr>
        <xdr:cNvPr id="16" name="Прямоугольник: скругленные углы 15">
          <a:extLst>
            <a:ext uri="{FF2B5EF4-FFF2-40B4-BE49-F238E27FC236}">
              <a16:creationId xmlns:a16="http://schemas.microsoft.com/office/drawing/2014/main" id="{00000000-0008-0000-2800-000010000000}"/>
            </a:ext>
          </a:extLst>
        </xdr:cNvPr>
        <xdr:cNvSpPr/>
      </xdr:nvSpPr>
      <xdr:spPr>
        <a:xfrm>
          <a:off x="14523719" y="1272540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9C8F51B1-EEEE-4DC3-A1C2-02D94F9EF116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32%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175260</xdr:colOff>
      <xdr:row>11</xdr:row>
      <xdr:rowOff>72390</xdr:rowOff>
    </xdr:from>
    <xdr:to>
      <xdr:col>7</xdr:col>
      <xdr:colOff>895260</xdr:colOff>
      <xdr:row>11</xdr:row>
      <xdr:rowOff>432390</xdr:rowOff>
    </xdr:to>
    <xdr:sp macro="" textlink="КПЭбезЛьгот!#REF!">
      <xdr:nvSpPr>
        <xdr:cNvPr id="18" name="Прямоугольник: скругленные углы 17">
          <a:extLst>
            <a:ext uri="{FF2B5EF4-FFF2-40B4-BE49-F238E27FC236}">
              <a16:creationId xmlns:a16="http://schemas.microsoft.com/office/drawing/2014/main" id="{00000000-0008-0000-2800-000012000000}"/>
            </a:ext>
          </a:extLst>
        </xdr:cNvPr>
        <xdr:cNvSpPr/>
      </xdr:nvSpPr>
      <xdr:spPr>
        <a:xfrm>
          <a:off x="15441930" y="475107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E78F93AC-658A-4E14-84B5-8C7313846AE4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40%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194310</xdr:colOff>
      <xdr:row>12</xdr:row>
      <xdr:rowOff>102870</xdr:rowOff>
    </xdr:from>
    <xdr:to>
      <xdr:col>7</xdr:col>
      <xdr:colOff>914310</xdr:colOff>
      <xdr:row>12</xdr:row>
      <xdr:rowOff>462870</xdr:rowOff>
    </xdr:to>
    <xdr:sp macro="" textlink="КПЭбезЛьгот!#REF!">
      <xdr:nvSpPr>
        <xdr:cNvPr id="19" name="Прямоугольник: скругленные углы 18">
          <a:extLst>
            <a:ext uri="{FF2B5EF4-FFF2-40B4-BE49-F238E27FC236}">
              <a16:creationId xmlns:a16="http://schemas.microsoft.com/office/drawing/2014/main" id="{00000000-0008-0000-2800-000013000000}"/>
            </a:ext>
          </a:extLst>
        </xdr:cNvPr>
        <xdr:cNvSpPr/>
      </xdr:nvSpPr>
      <xdr:spPr>
        <a:xfrm>
          <a:off x="15460980" y="536448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9800A5D-1F71-4B87-9776-C552EC03BC4F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27%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182880</xdr:colOff>
      <xdr:row>13</xdr:row>
      <xdr:rowOff>91440</xdr:rowOff>
    </xdr:from>
    <xdr:to>
      <xdr:col>7</xdr:col>
      <xdr:colOff>902880</xdr:colOff>
      <xdr:row>13</xdr:row>
      <xdr:rowOff>451440</xdr:rowOff>
    </xdr:to>
    <xdr:sp macro="" textlink="КПЭбезЛьгот!#REF!">
      <xdr:nvSpPr>
        <xdr:cNvPr id="20" name="Прямоугольник: скругленные углы 19">
          <a:extLst>
            <a:ext uri="{FF2B5EF4-FFF2-40B4-BE49-F238E27FC236}">
              <a16:creationId xmlns:a16="http://schemas.microsoft.com/office/drawing/2014/main" id="{00000000-0008-0000-2800-000014000000}"/>
            </a:ext>
          </a:extLst>
        </xdr:cNvPr>
        <xdr:cNvSpPr/>
      </xdr:nvSpPr>
      <xdr:spPr>
        <a:xfrm>
          <a:off x="15449550" y="5935980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E04D6D84-891D-4896-A92C-2AABF139A45C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27%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3859754</xdr:colOff>
      <xdr:row>0</xdr:row>
      <xdr:rowOff>74855</xdr:rowOff>
    </xdr:from>
    <xdr:to>
      <xdr:col>3</xdr:col>
      <xdr:colOff>4808279</xdr:colOff>
      <xdr:row>1</xdr:row>
      <xdr:rowOff>110802</xdr:rowOff>
    </xdr:to>
    <xdr:sp macro="" textlink="">
      <xdr:nvSpPr>
        <xdr:cNvPr id="22" name="Прямоугольник 2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16000000}"/>
            </a:ext>
          </a:extLst>
        </xdr:cNvPr>
        <xdr:cNvSpPr/>
      </xdr:nvSpPr>
      <xdr:spPr>
        <a:xfrm>
          <a:off x="6774404" y="74855"/>
          <a:ext cx="948525" cy="26835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>
              <a:latin typeface="Times New Roman" panose="02020603050405020304" pitchFamily="18" charset="0"/>
              <a:cs typeface="Times New Roman" panose="02020603050405020304" pitchFamily="18" charset="0"/>
            </a:rPr>
            <a:t>Оглавление</a:t>
          </a:r>
        </a:p>
      </xdr:txBody>
    </xdr:sp>
    <xdr:clientData fPrintsWithSheet="0"/>
  </xdr:twoCellAnchor>
  <xdr:twoCellAnchor>
    <xdr:from>
      <xdr:col>3</xdr:col>
      <xdr:colOff>5015753</xdr:colOff>
      <xdr:row>0</xdr:row>
      <xdr:rowOff>76199</xdr:rowOff>
    </xdr:from>
    <xdr:to>
      <xdr:col>3</xdr:col>
      <xdr:colOff>5964278</xdr:colOff>
      <xdr:row>1</xdr:row>
      <xdr:rowOff>112146</xdr:rowOff>
    </xdr:to>
    <xdr:sp macro="" textlink="">
      <xdr:nvSpPr>
        <xdr:cNvPr id="25" name="Прямоугольник 2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800-000019000000}"/>
            </a:ext>
          </a:extLst>
        </xdr:cNvPr>
        <xdr:cNvSpPr/>
      </xdr:nvSpPr>
      <xdr:spPr>
        <a:xfrm>
          <a:off x="7930403" y="76199"/>
          <a:ext cx="948525" cy="268357"/>
        </a:xfrm>
        <a:prstGeom prst="rect">
          <a:avLst/>
        </a:prstGeom>
        <a:solidFill>
          <a:srgbClr val="A3A3A3"/>
        </a:solidFill>
        <a:ln>
          <a:solidFill>
            <a:srgbClr val="A3A3A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000" b="1">
              <a:latin typeface="Times New Roman" panose="02020603050405020304" pitchFamily="18" charset="0"/>
              <a:cs typeface="Times New Roman" panose="02020603050405020304" pitchFamily="18" charset="0"/>
            </a:rPr>
            <a:t>Структура</a:t>
          </a:r>
        </a:p>
      </xdr:txBody>
    </xdr:sp>
    <xdr:clientData fPrintsWithSheet="0"/>
  </xdr:twoCellAnchor>
  <xdr:twoCellAnchor>
    <xdr:from>
      <xdr:col>2</xdr:col>
      <xdr:colOff>24876</xdr:colOff>
      <xdr:row>5</xdr:row>
      <xdr:rowOff>104438</xdr:rowOff>
    </xdr:from>
    <xdr:to>
      <xdr:col>2</xdr:col>
      <xdr:colOff>744876</xdr:colOff>
      <xdr:row>5</xdr:row>
      <xdr:rowOff>464438</xdr:rowOff>
    </xdr:to>
    <xdr:sp macro="" textlink="">
      <xdr:nvSpPr>
        <xdr:cNvPr id="26" name="Прямоугольник: скругленные углы 25">
          <a:extLst>
            <a:ext uri="{FF2B5EF4-FFF2-40B4-BE49-F238E27FC236}">
              <a16:creationId xmlns:a16="http://schemas.microsoft.com/office/drawing/2014/main" id="{00000000-0008-0000-2800-00001A000000}"/>
            </a:ext>
          </a:extLst>
        </xdr:cNvPr>
        <xdr:cNvSpPr/>
      </xdr:nvSpPr>
      <xdr:spPr>
        <a:xfrm>
          <a:off x="2131582" y="1287779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ru-RU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r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6</xdr:col>
      <xdr:colOff>97490</xdr:colOff>
      <xdr:row>6</xdr:row>
      <xdr:rowOff>99957</xdr:rowOff>
    </xdr:from>
    <xdr:to>
      <xdr:col>7</xdr:col>
      <xdr:colOff>6185</xdr:colOff>
      <xdr:row>6</xdr:row>
      <xdr:rowOff>459957</xdr:rowOff>
    </xdr:to>
    <xdr:sp macro="" textlink="КПЭбезЛьгот!#REF!">
      <xdr:nvSpPr>
        <xdr:cNvPr id="27" name="Прямоугольник: скругленные углы 26">
          <a:extLst>
            <a:ext uri="{FF2B5EF4-FFF2-40B4-BE49-F238E27FC236}">
              <a16:creationId xmlns:a16="http://schemas.microsoft.com/office/drawing/2014/main" id="{00000000-0008-0000-2800-00001B000000}"/>
            </a:ext>
          </a:extLst>
        </xdr:cNvPr>
        <xdr:cNvSpPr/>
      </xdr:nvSpPr>
      <xdr:spPr>
        <a:xfrm>
          <a:off x="14552630" y="1863987"/>
          <a:ext cx="720225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3F72032-23F3-405E-B2EE-5BD3AF0DEE04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16 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84267</xdr:colOff>
      <xdr:row>14</xdr:row>
      <xdr:rowOff>114524</xdr:rowOff>
    </xdr:from>
    <xdr:to>
      <xdr:col>6</xdr:col>
      <xdr:colOff>804042</xdr:colOff>
      <xdr:row>14</xdr:row>
      <xdr:rowOff>474524</xdr:rowOff>
    </xdr:to>
    <xdr:sp macro="" textlink="КПЭ!#REF!">
      <xdr:nvSpPr>
        <xdr:cNvPr id="28" name="Прямоугольник: скругленные углы 27">
          <a:extLst>
            <a:ext uri="{FF2B5EF4-FFF2-40B4-BE49-F238E27FC236}">
              <a16:creationId xmlns:a16="http://schemas.microsoft.com/office/drawing/2014/main" id="{00000000-0008-0000-2800-00001C000000}"/>
            </a:ext>
          </a:extLst>
        </xdr:cNvPr>
        <xdr:cNvSpPr/>
      </xdr:nvSpPr>
      <xdr:spPr>
        <a:xfrm>
          <a:off x="14544338" y="6542218"/>
          <a:ext cx="719775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6788BC64-DB6C-459E-8BE1-E66057C9438C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5 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106679</xdr:colOff>
      <xdr:row>15</xdr:row>
      <xdr:rowOff>105559</xdr:rowOff>
    </xdr:from>
    <xdr:to>
      <xdr:col>7</xdr:col>
      <xdr:colOff>15149</xdr:colOff>
      <xdr:row>15</xdr:row>
      <xdr:rowOff>465559</xdr:rowOff>
    </xdr:to>
    <xdr:sp macro="" textlink="КПЭ!#REF!">
      <xdr:nvSpPr>
        <xdr:cNvPr id="29" name="Прямоугольник: скругленные углы 28">
          <a:extLst>
            <a:ext uri="{FF2B5EF4-FFF2-40B4-BE49-F238E27FC236}">
              <a16:creationId xmlns:a16="http://schemas.microsoft.com/office/drawing/2014/main" id="{00000000-0008-0000-2800-00001D000000}"/>
            </a:ext>
          </a:extLst>
        </xdr:cNvPr>
        <xdr:cNvSpPr/>
      </xdr:nvSpPr>
      <xdr:spPr>
        <a:xfrm>
          <a:off x="14561819" y="7115959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BE622B52-513F-4F19-B12C-08B7149EEAFA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6 </a:t>
          </a:fld>
          <a:endParaRPr lang="ru-RU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11</xdr:row>
      <xdr:rowOff>62753</xdr:rowOff>
    </xdr:from>
    <xdr:to>
      <xdr:col>2</xdr:col>
      <xdr:colOff>720000</xdr:colOff>
      <xdr:row>11</xdr:row>
      <xdr:rowOff>422753</xdr:rowOff>
    </xdr:to>
    <xdr:sp macro="" textlink="КПЭ!#REF!">
      <xdr:nvSpPr>
        <xdr:cNvPr id="31" name="Прямоугольник: скругленные углы 30">
          <a:extLst>
            <a:ext uri="{FF2B5EF4-FFF2-40B4-BE49-F238E27FC236}">
              <a16:creationId xmlns:a16="http://schemas.microsoft.com/office/drawing/2014/main" id="{00000000-0008-0000-2800-00001F000000}"/>
            </a:ext>
          </a:extLst>
        </xdr:cNvPr>
        <xdr:cNvSpPr/>
      </xdr:nvSpPr>
      <xdr:spPr>
        <a:xfrm>
          <a:off x="2106706" y="4742329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A7884A1F-9966-4914-855A-120342673DD3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120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13447</xdr:colOff>
      <xdr:row>11</xdr:row>
      <xdr:rowOff>49306</xdr:rowOff>
    </xdr:from>
    <xdr:to>
      <xdr:col>2</xdr:col>
      <xdr:colOff>733447</xdr:colOff>
      <xdr:row>11</xdr:row>
      <xdr:rowOff>409306</xdr:rowOff>
    </xdr:to>
    <xdr:sp macro="" textlink="КПЭбезЛьгот!#REF!">
      <xdr:nvSpPr>
        <xdr:cNvPr id="32" name="Прямоугольник: скругленные углы 31">
          <a:extLst>
            <a:ext uri="{FF2B5EF4-FFF2-40B4-BE49-F238E27FC236}">
              <a16:creationId xmlns:a16="http://schemas.microsoft.com/office/drawing/2014/main" id="{00000000-0008-0000-2800-000020000000}"/>
            </a:ext>
          </a:extLst>
        </xdr:cNvPr>
        <xdr:cNvSpPr/>
      </xdr:nvSpPr>
      <xdr:spPr>
        <a:xfrm>
          <a:off x="2120153" y="4728882"/>
          <a:ext cx="720000" cy="3600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4851D4E8-52F5-428A-8908-ACBF1E7B76C8}" type="TxLink">
            <a:rPr lang="en-US" sz="1400" b="0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120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96595</xdr:colOff>
      <xdr:row>11</xdr:row>
      <xdr:rowOff>95027</xdr:rowOff>
    </xdr:from>
    <xdr:to>
      <xdr:col>7</xdr:col>
      <xdr:colOff>5290</xdr:colOff>
      <xdr:row>11</xdr:row>
      <xdr:rowOff>455027</xdr:rowOff>
    </xdr:to>
    <xdr:sp macro="" textlink="КПЭбезЛьгот!#REF!">
      <xdr:nvSpPr>
        <xdr:cNvPr id="36" name="Прямоугольник: скругленные углы 35">
          <a:extLst>
            <a:ext uri="{FF2B5EF4-FFF2-40B4-BE49-F238E27FC236}">
              <a16:creationId xmlns:a16="http://schemas.microsoft.com/office/drawing/2014/main" id="{00000000-0008-0000-2800-000024000000}"/>
            </a:ext>
          </a:extLst>
        </xdr:cNvPr>
        <xdr:cNvSpPr/>
      </xdr:nvSpPr>
      <xdr:spPr>
        <a:xfrm>
          <a:off x="14556666" y="4774603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7CDE9662-4E89-4938-8559-A454C98E982D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371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78666</xdr:colOff>
      <xdr:row>12</xdr:row>
      <xdr:rowOff>103991</xdr:rowOff>
    </xdr:from>
    <xdr:to>
      <xdr:col>6</xdr:col>
      <xdr:colOff>798666</xdr:colOff>
      <xdr:row>12</xdr:row>
      <xdr:rowOff>463991</xdr:rowOff>
    </xdr:to>
    <xdr:sp macro="" textlink="КПЭбезЛьгот!#REF!">
      <xdr:nvSpPr>
        <xdr:cNvPr id="37" name="Прямоугольник: скругленные углы 36">
          <a:extLst>
            <a:ext uri="{FF2B5EF4-FFF2-40B4-BE49-F238E27FC236}">
              <a16:creationId xmlns:a16="http://schemas.microsoft.com/office/drawing/2014/main" id="{00000000-0008-0000-2800-000025000000}"/>
            </a:ext>
          </a:extLst>
        </xdr:cNvPr>
        <xdr:cNvSpPr/>
      </xdr:nvSpPr>
      <xdr:spPr>
        <a:xfrm>
          <a:off x="14538737" y="5366273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1539BE17-BC81-434F-89E2-9CE4B706B644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250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60737</xdr:colOff>
      <xdr:row>13</xdr:row>
      <xdr:rowOff>117438</xdr:rowOff>
    </xdr:from>
    <xdr:to>
      <xdr:col>6</xdr:col>
      <xdr:colOff>780737</xdr:colOff>
      <xdr:row>13</xdr:row>
      <xdr:rowOff>477438</xdr:rowOff>
    </xdr:to>
    <xdr:sp macro="" textlink="КПЭбезЛьгот!#REF!">
      <xdr:nvSpPr>
        <xdr:cNvPr id="38" name="Прямоугольник: скругленные углы 37">
          <a:extLst>
            <a:ext uri="{FF2B5EF4-FFF2-40B4-BE49-F238E27FC236}">
              <a16:creationId xmlns:a16="http://schemas.microsoft.com/office/drawing/2014/main" id="{00000000-0008-0000-2800-000026000000}"/>
            </a:ext>
          </a:extLst>
        </xdr:cNvPr>
        <xdr:cNvSpPr/>
      </xdr:nvSpPr>
      <xdr:spPr>
        <a:xfrm>
          <a:off x="14520808" y="5962426"/>
          <a:ext cx="720000" cy="360000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fld id="{1DC8EBDC-88F4-4C4C-84AC-BB16D3DE7F79}" type="TxLink">
            <a:rPr lang="en-US" sz="1400" b="1" i="0" u="none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pPr algn="r"/>
            <a:t>407 </a:t>
          </a:fld>
          <a:endParaRPr lang="ru-RU" sz="14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354105</xdr:colOff>
      <xdr:row>4</xdr:row>
      <xdr:rowOff>116541</xdr:rowOff>
    </xdr:from>
    <xdr:to>
      <xdr:col>3</xdr:col>
      <xdr:colOff>4899212</xdr:colOff>
      <xdr:row>9</xdr:row>
      <xdr:rowOff>412376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304017</xdr:colOff>
      <xdr:row>10</xdr:row>
      <xdr:rowOff>0</xdr:rowOff>
    </xdr:from>
    <xdr:to>
      <xdr:col>3</xdr:col>
      <xdr:colOff>4903694</xdr:colOff>
      <xdr:row>14</xdr:row>
      <xdr:rowOff>300318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268942</xdr:colOff>
      <xdr:row>14</xdr:row>
      <xdr:rowOff>520178</xdr:rowOff>
    </xdr:from>
    <xdr:to>
      <xdr:col>3</xdr:col>
      <xdr:colOff>4894730</xdr:colOff>
      <xdr:row>19</xdr:row>
      <xdr:rowOff>416858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2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5051612</xdr:colOff>
      <xdr:row>10</xdr:row>
      <xdr:rowOff>4482</xdr:rowOff>
    </xdr:from>
    <xdr:to>
      <xdr:col>3</xdr:col>
      <xdr:colOff>9686364</xdr:colOff>
      <xdr:row>14</xdr:row>
      <xdr:rowOff>349624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28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5020235</xdr:colOff>
      <xdr:row>14</xdr:row>
      <xdr:rowOff>506506</xdr:rowOff>
    </xdr:from>
    <xdr:to>
      <xdr:col>3</xdr:col>
      <xdr:colOff>9722223</xdr:colOff>
      <xdr:row>19</xdr:row>
      <xdr:rowOff>443752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2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5029200</xdr:colOff>
      <xdr:row>4</xdr:row>
      <xdr:rowOff>125506</xdr:rowOff>
    </xdr:from>
    <xdr:to>
      <xdr:col>3</xdr:col>
      <xdr:colOff>9654988</xdr:colOff>
      <xdr:row>9</xdr:row>
      <xdr:rowOff>407894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28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0.35807</cdr:x>
      <cdr:y>0.48426</cdr:y>
    </cdr:from>
    <cdr:to>
      <cdr:x>0.5039</cdr:x>
      <cdr:y>0.5735</cdr:y>
    </cdr:to>
    <cdr:sp macro="" textlink="КПЭбезЛьгот!#REF!">
      <cdr:nvSpPr>
        <cdr:cNvPr id="2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id="{BDC6B7E3-CE5E-5567-F2DE-D850DFAF94A5}"/>
            </a:ext>
          </a:extLst>
        </cdr:cNvPr>
        <cdr:cNvSpPr/>
      </cdr:nvSpPr>
      <cdr:spPr>
        <a:xfrm xmlns:a="http://schemas.openxmlformats.org/drawingml/2006/main">
          <a:off x="1934480" y="1594090"/>
          <a:ext cx="787882" cy="2937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E1238F66-C332-4308-AA40-4420A5ABE758}" type="TxLink">
            <a:rPr lang="en-US" sz="16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336 </a:t>
          </a:fld>
          <a:endParaRPr lang="ru-RU" sz="1600"/>
        </a:p>
      </cdr:txBody>
    </cdr:sp>
  </cdr:relSizeAnchor>
  <cdr:relSizeAnchor xmlns:cdr="http://schemas.openxmlformats.org/drawingml/2006/chartDrawing">
    <cdr:from>
      <cdr:x>0.34608</cdr:x>
      <cdr:y>0.49815</cdr:y>
    </cdr:from>
    <cdr:to>
      <cdr:x>0.49191</cdr:x>
      <cdr:y>0.58739</cdr:y>
    </cdr:to>
    <cdr:sp macro="" textlink="КПЭбезЛьгот!#REF!">
      <cdr:nvSpPr>
        <cdr:cNvPr id="3" name="Прямоугольник 1">
          <a:extLst xmlns:a="http://schemas.openxmlformats.org/drawingml/2006/main">
            <a:ext uri="{FF2B5EF4-FFF2-40B4-BE49-F238E27FC236}">
              <a16:creationId xmlns:a16="http://schemas.microsoft.com/office/drawing/2014/main" id="{BDC6B7E3-CE5E-5567-F2DE-D850DFAF94A5}"/>
            </a:ext>
          </a:extLst>
        </cdr:cNvPr>
        <cdr:cNvSpPr/>
      </cdr:nvSpPr>
      <cdr:spPr>
        <a:xfrm xmlns:a="http://schemas.openxmlformats.org/drawingml/2006/main">
          <a:off x="1869730" y="1639826"/>
          <a:ext cx="787857" cy="29376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fld id="{E6DC316D-5DCD-43BC-A9AB-AEC2A13E8316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336 </a:t>
          </a:fld>
          <a:endParaRPr lang="ru-RU" sz="14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ail_2@mail.ru" TargetMode="External"/><Relationship Id="rId1" Type="http://schemas.openxmlformats.org/officeDocument/2006/relationships/hyperlink" Target="mailto:email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nvest.economy.gov.ru/osobye-ehkonomicheskie-zony" TargetMode="Externa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26" Type="http://schemas.openxmlformats.org/officeDocument/2006/relationships/ctrlProp" Target="../ctrlProps/ctrlProp32.xml"/><Relationship Id="rId3" Type="http://schemas.openxmlformats.org/officeDocument/2006/relationships/drawing" Target="../drawings/drawing42.xml"/><Relationship Id="rId21" Type="http://schemas.openxmlformats.org/officeDocument/2006/relationships/ctrlProp" Target="../ctrlProps/ctrlProp27.x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29" Type="http://schemas.openxmlformats.org/officeDocument/2006/relationships/ctrlProp" Target="../ctrlProps/ctrlProp35.xml"/><Relationship Id="rId1" Type="http://schemas.openxmlformats.org/officeDocument/2006/relationships/hyperlink" Target="http://publication.pravo.gov.ru/document/0001202402150022?ysclid=ltr7u2qhku93252825" TargetMode="External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24" Type="http://schemas.openxmlformats.org/officeDocument/2006/relationships/ctrlProp" Target="../ctrlProps/ctrlProp30.xml"/><Relationship Id="rId5" Type="http://schemas.openxmlformats.org/officeDocument/2006/relationships/vmlDrawing" Target="../drawings/vmlDrawing35.v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vmlDrawing" Target="../drawings/vmlDrawing34.v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30" Type="http://schemas.openxmlformats.org/officeDocument/2006/relationships/ctrlProp" Target="../ctrlProps/ctrlProp36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s://cbr.ru/statistics/ddkp/" TargetMode="External"/><Relationship Id="rId4" Type="http://schemas.openxmlformats.org/officeDocument/2006/relationships/vmlDrawing" Target="../drawings/vmlDrawing36.v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" Type="http://schemas.openxmlformats.org/officeDocument/2006/relationships/vmlDrawing" Target="../drawings/vmlDrawing39.vml"/><Relationship Id="rId21" Type="http://schemas.openxmlformats.org/officeDocument/2006/relationships/ctrlProp" Target="../ctrlProps/ctrlProp53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2" Type="http://schemas.openxmlformats.org/officeDocument/2006/relationships/drawing" Target="../drawings/drawing46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40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4" Type="http://schemas.openxmlformats.org/officeDocument/2006/relationships/vmlDrawing" Target="../drawings/vmlDrawing40.v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66542-6F3B-4415-AAB3-270A4F75A03B}">
  <sheetPr codeName="Лист1">
    <tabColor rgb="FF00B050"/>
    <pageSetUpPr fitToPage="1"/>
  </sheetPr>
  <dimension ref="A1:G372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8" sqref="B8:C8"/>
    </sheetView>
  </sheetViews>
  <sheetFormatPr defaultColWidth="0" defaultRowHeight="15" zeroHeight="1" x14ac:dyDescent="0.25"/>
  <cols>
    <col min="1" max="1" width="8.85546875" customWidth="1"/>
    <col min="2" max="2" width="83.140625" customWidth="1"/>
    <col min="3" max="4" width="28.5703125" customWidth="1"/>
    <col min="5" max="5" width="9.42578125" customWidth="1"/>
    <col min="6" max="7" width="0" hidden="1" customWidth="1"/>
    <col min="8" max="16384" width="8.85546875" hidden="1"/>
  </cols>
  <sheetData>
    <row r="1" spans="1:5" x14ac:dyDescent="0.25">
      <c r="A1" s="71"/>
      <c r="B1" s="71"/>
      <c r="C1" s="71"/>
      <c r="D1" s="71"/>
      <c r="E1" s="71"/>
    </row>
    <row r="2" spans="1:5" ht="19.5" customHeight="1" x14ac:dyDescent="0.25">
      <c r="A2" s="71"/>
      <c r="B2" s="71"/>
      <c r="C2" s="71"/>
      <c r="D2" s="71"/>
      <c r="E2" s="71"/>
    </row>
    <row r="3" spans="1:5" ht="25.5" customHeight="1" x14ac:dyDescent="0.25">
      <c r="A3" s="790" t="s">
        <v>1095</v>
      </c>
      <c r="B3" s="790"/>
      <c r="C3" s="73"/>
      <c r="D3" s="71"/>
      <c r="E3" s="71"/>
    </row>
    <row r="4" spans="1:5" ht="6.6" customHeight="1" x14ac:dyDescent="0.25">
      <c r="A4" s="72"/>
      <c r="B4" s="72"/>
      <c r="C4" s="74"/>
      <c r="D4" s="72"/>
      <c r="E4" s="72"/>
    </row>
    <row r="5" spans="1:5" ht="60" x14ac:dyDescent="0.25">
      <c r="B5" s="71"/>
      <c r="C5" s="71"/>
      <c r="D5" s="167" t="s">
        <v>975</v>
      </c>
    </row>
    <row r="6" spans="1:5" ht="37.5" customHeight="1" x14ac:dyDescent="0.25">
      <c r="A6" s="747"/>
      <c r="B6" s="820" t="s">
        <v>916</v>
      </c>
      <c r="C6" s="821"/>
      <c r="D6" s="747"/>
    </row>
    <row r="7" spans="1:5" ht="28.5" customHeight="1" thickBot="1" x14ac:dyDescent="0.3">
      <c r="A7" s="747"/>
      <c r="B7" s="826" t="s">
        <v>1093</v>
      </c>
      <c r="C7" s="827"/>
      <c r="D7" s="747"/>
    </row>
    <row r="8" spans="1:5" ht="15.75" x14ac:dyDescent="0.25">
      <c r="A8" s="747"/>
      <c r="B8" s="822" t="s">
        <v>917</v>
      </c>
      <c r="C8" s="823"/>
      <c r="D8" s="747"/>
    </row>
    <row r="9" spans="1:5" x14ac:dyDescent="0.25"/>
    <row r="10" spans="1:5" x14ac:dyDescent="0.25"/>
    <row r="11" spans="1:5" ht="47.25" customHeight="1" x14ac:dyDescent="0.25">
      <c r="A11" s="791" t="s">
        <v>980</v>
      </c>
      <c r="B11" s="791"/>
      <c r="C11" s="791"/>
      <c r="D11" s="791"/>
    </row>
    <row r="12" spans="1:5" ht="15.75" x14ac:dyDescent="0.25">
      <c r="A12" s="824" t="s">
        <v>918</v>
      </c>
      <c r="B12" s="824"/>
      <c r="C12" s="824"/>
      <c r="D12" s="824"/>
    </row>
    <row r="13" spans="1:5" s="748" customFormat="1" ht="75" x14ac:dyDescent="0.3">
      <c r="A13" s="750">
        <v>1</v>
      </c>
      <c r="B13" s="752" t="s">
        <v>919</v>
      </c>
      <c r="C13" s="825" t="s">
        <v>1094</v>
      </c>
      <c r="D13" s="825"/>
    </row>
    <row r="14" spans="1:5" s="748" customFormat="1" ht="18.75" x14ac:dyDescent="0.3">
      <c r="A14" s="750">
        <v>2</v>
      </c>
      <c r="B14" s="752" t="s">
        <v>920</v>
      </c>
      <c r="C14" s="818" t="s">
        <v>979</v>
      </c>
      <c r="D14" s="818"/>
    </row>
    <row r="15" spans="1:5" s="748" customFormat="1" ht="56.25" x14ac:dyDescent="0.3">
      <c r="A15" s="750">
        <v>3</v>
      </c>
      <c r="B15" s="752" t="s">
        <v>921</v>
      </c>
      <c r="C15" s="816">
        <v>45292</v>
      </c>
      <c r="D15" s="816"/>
    </row>
    <row r="16" spans="1:5" s="748" customFormat="1" ht="112.5" x14ac:dyDescent="0.3">
      <c r="A16" s="750">
        <v>4</v>
      </c>
      <c r="B16" s="752" t="s">
        <v>922</v>
      </c>
      <c r="C16" s="818"/>
      <c r="D16" s="818"/>
    </row>
    <row r="17" spans="1:4" s="748" customFormat="1" ht="56.25" x14ac:dyDescent="0.3">
      <c r="A17" s="750">
        <v>5</v>
      </c>
      <c r="B17" s="752" t="s">
        <v>923</v>
      </c>
      <c r="C17" s="818"/>
      <c r="D17" s="818"/>
    </row>
    <row r="18" spans="1:4" s="748" customFormat="1" ht="37.5" x14ac:dyDescent="0.3">
      <c r="A18" s="792">
        <v>6</v>
      </c>
      <c r="B18" s="752" t="s">
        <v>924</v>
      </c>
      <c r="C18" s="817" t="s">
        <v>981</v>
      </c>
      <c r="D18" s="817"/>
    </row>
    <row r="19" spans="1:4" s="748" customFormat="1" ht="37.5" x14ac:dyDescent="0.3">
      <c r="A19" s="792"/>
      <c r="B19" s="752" t="s">
        <v>925</v>
      </c>
      <c r="C19" s="817" t="s">
        <v>982</v>
      </c>
      <c r="D19" s="817"/>
    </row>
    <row r="20" spans="1:4" s="748" customFormat="1" ht="18.75" x14ac:dyDescent="0.3">
      <c r="A20" s="792"/>
      <c r="B20" s="752" t="s">
        <v>926</v>
      </c>
      <c r="C20" s="819" t="s">
        <v>983</v>
      </c>
      <c r="D20" s="817"/>
    </row>
    <row r="21" spans="1:4" s="748" customFormat="1" ht="18.75" x14ac:dyDescent="0.3">
      <c r="A21" s="792"/>
      <c r="B21" s="752" t="s">
        <v>927</v>
      </c>
      <c r="C21" s="817" t="s">
        <v>984</v>
      </c>
      <c r="D21" s="817"/>
    </row>
    <row r="22" spans="1:4" s="748" customFormat="1" ht="37.5" x14ac:dyDescent="0.3">
      <c r="A22" s="792">
        <v>7</v>
      </c>
      <c r="B22" s="752" t="s">
        <v>928</v>
      </c>
      <c r="C22" s="817" t="s">
        <v>985</v>
      </c>
      <c r="D22" s="817"/>
    </row>
    <row r="23" spans="1:4" s="748" customFormat="1" ht="37.5" x14ac:dyDescent="0.3">
      <c r="A23" s="792"/>
      <c r="B23" s="752" t="s">
        <v>929</v>
      </c>
      <c r="C23" s="817" t="s">
        <v>986</v>
      </c>
      <c r="D23" s="817"/>
    </row>
    <row r="24" spans="1:4" s="748" customFormat="1" ht="18.75" x14ac:dyDescent="0.3">
      <c r="A24" s="792"/>
      <c r="B24" s="752" t="s">
        <v>926</v>
      </c>
      <c r="C24" s="819" t="s">
        <v>987</v>
      </c>
      <c r="D24" s="817"/>
    </row>
    <row r="25" spans="1:4" s="748" customFormat="1" ht="18.75" x14ac:dyDescent="0.3">
      <c r="A25" s="792"/>
      <c r="B25" s="752" t="s">
        <v>927</v>
      </c>
      <c r="C25" s="817" t="s">
        <v>988</v>
      </c>
      <c r="D25" s="817"/>
    </row>
    <row r="26" spans="1:4" s="748" customFormat="1" ht="35.25" customHeight="1" x14ac:dyDescent="0.3">
      <c r="A26" s="791" t="s">
        <v>930</v>
      </c>
      <c r="B26" s="791"/>
      <c r="C26" s="791"/>
      <c r="D26" s="791"/>
    </row>
    <row r="27" spans="1:4" s="748" customFormat="1" ht="18.75" x14ac:dyDescent="0.3">
      <c r="A27" s="750">
        <v>1</v>
      </c>
      <c r="B27" s="752" t="s">
        <v>931</v>
      </c>
      <c r="C27" s="815" t="str">
        <f>B7</f>
        <v>Название инвест. проект 01</v>
      </c>
      <c r="D27" s="815"/>
    </row>
    <row r="28" spans="1:4" s="748" customFormat="1" ht="18.75" x14ac:dyDescent="0.3">
      <c r="A28" s="750">
        <v>2</v>
      </c>
      <c r="B28" s="752" t="s">
        <v>932</v>
      </c>
      <c r="C28" s="817"/>
      <c r="D28" s="817"/>
    </row>
    <row r="29" spans="1:4" s="748" customFormat="1" ht="18.75" x14ac:dyDescent="0.3">
      <c r="A29" s="750">
        <v>3</v>
      </c>
      <c r="B29" s="752" t="s">
        <v>933</v>
      </c>
      <c r="C29" s="817"/>
      <c r="D29" s="817"/>
    </row>
    <row r="30" spans="1:4" s="748" customFormat="1" ht="56.25" x14ac:dyDescent="0.3">
      <c r="A30" s="750">
        <v>4</v>
      </c>
      <c r="B30" s="752" t="s">
        <v>934</v>
      </c>
      <c r="C30" s="817"/>
      <c r="D30" s="817"/>
    </row>
    <row r="31" spans="1:4" s="748" customFormat="1" ht="75" x14ac:dyDescent="0.3">
      <c r="A31" s="750">
        <v>5</v>
      </c>
      <c r="B31" s="752" t="s">
        <v>935</v>
      </c>
      <c r="C31" s="817"/>
      <c r="D31" s="817"/>
    </row>
    <row r="32" spans="1:4" s="748" customFormat="1" ht="356.25" x14ac:dyDescent="0.3">
      <c r="A32" s="750">
        <v>6</v>
      </c>
      <c r="B32" s="752" t="s">
        <v>936</v>
      </c>
      <c r="C32" s="817"/>
      <c r="D32" s="817"/>
    </row>
    <row r="33" spans="1:4" s="748" customFormat="1" ht="34.5" customHeight="1" x14ac:dyDescent="0.3">
      <c r="A33" s="792">
        <v>7</v>
      </c>
      <c r="B33" s="752" t="s">
        <v>937</v>
      </c>
      <c r="C33" s="817"/>
      <c r="D33" s="817"/>
    </row>
    <row r="34" spans="1:4" s="748" customFormat="1" ht="34.5" customHeight="1" x14ac:dyDescent="0.3">
      <c r="A34" s="792"/>
      <c r="B34" s="752" t="s">
        <v>938</v>
      </c>
      <c r="C34" s="817"/>
      <c r="D34" s="817"/>
    </row>
    <row r="35" spans="1:4" s="748" customFormat="1" ht="75" x14ac:dyDescent="0.3">
      <c r="A35" s="750">
        <v>8</v>
      </c>
      <c r="B35" s="752" t="s">
        <v>939</v>
      </c>
      <c r="C35" s="817"/>
      <c r="D35" s="817"/>
    </row>
    <row r="36" spans="1:4" s="748" customFormat="1" ht="18.75" x14ac:dyDescent="0.3">
      <c r="A36" s="792">
        <v>9</v>
      </c>
      <c r="B36" s="752" t="s">
        <v>940</v>
      </c>
      <c r="C36" s="816">
        <v>45658</v>
      </c>
      <c r="D36" s="816"/>
    </row>
    <row r="37" spans="1:4" s="748" customFormat="1" ht="18.75" x14ac:dyDescent="0.3">
      <c r="A37" s="792"/>
      <c r="B37" s="752" t="s">
        <v>938</v>
      </c>
      <c r="C37" s="816"/>
      <c r="D37" s="816"/>
    </row>
    <row r="38" spans="1:4" s="748" customFormat="1" ht="18.75" x14ac:dyDescent="0.3">
      <c r="A38" s="750">
        <v>10</v>
      </c>
      <c r="B38" s="752" t="s">
        <v>941</v>
      </c>
      <c r="C38" s="816"/>
      <c r="D38" s="816"/>
    </row>
    <row r="39" spans="1:4" s="748" customFormat="1" ht="37.5" x14ac:dyDescent="0.3">
      <c r="A39" s="750">
        <v>11</v>
      </c>
      <c r="B39" s="752" t="s">
        <v>942</v>
      </c>
      <c r="C39" s="816"/>
      <c r="D39" s="816"/>
    </row>
    <row r="40" spans="1:4" s="748" customFormat="1" ht="37.5" x14ac:dyDescent="0.3">
      <c r="A40" s="750">
        <v>12</v>
      </c>
      <c r="B40" s="752" t="s">
        <v>943</v>
      </c>
      <c r="C40" s="816"/>
      <c r="D40" s="816"/>
    </row>
    <row r="41" spans="1:4" s="748" customFormat="1" ht="20.25" x14ac:dyDescent="0.3">
      <c r="A41" s="791" t="s">
        <v>944</v>
      </c>
      <c r="B41" s="791"/>
      <c r="C41" s="791"/>
      <c r="D41" s="791"/>
    </row>
    <row r="42" spans="1:4" s="748" customFormat="1" ht="18.75" x14ac:dyDescent="0.3">
      <c r="A42" s="750">
        <v>1</v>
      </c>
      <c r="B42" s="752" t="s">
        <v>945</v>
      </c>
      <c r="C42" s="815"/>
      <c r="D42" s="815"/>
    </row>
    <row r="43" spans="1:4" s="748" customFormat="1" ht="18.75" x14ac:dyDescent="0.3">
      <c r="A43" s="750">
        <v>2</v>
      </c>
      <c r="B43" s="752" t="s">
        <v>946</v>
      </c>
      <c r="C43" s="815"/>
      <c r="D43" s="815"/>
    </row>
    <row r="44" spans="1:4" s="748" customFormat="1" ht="37.5" x14ac:dyDescent="0.3">
      <c r="A44" s="750">
        <v>3</v>
      </c>
      <c r="B44" s="752" t="s">
        <v>947</v>
      </c>
      <c r="C44" s="815"/>
      <c r="D44" s="815"/>
    </row>
    <row r="45" spans="1:4" s="748" customFormat="1" ht="18.75" x14ac:dyDescent="0.3">
      <c r="A45" s="750">
        <v>4</v>
      </c>
      <c r="B45" s="752" t="s">
        <v>948</v>
      </c>
      <c r="C45" s="815"/>
      <c r="D45" s="815"/>
    </row>
    <row r="46" spans="1:4" s="748" customFormat="1" ht="20.25" x14ac:dyDescent="0.3">
      <c r="A46" s="791" t="s">
        <v>949</v>
      </c>
      <c r="B46" s="791"/>
      <c r="C46" s="791"/>
      <c r="D46" s="791"/>
    </row>
    <row r="47" spans="1:4" s="748" customFormat="1" ht="18.75" x14ac:dyDescent="0.3">
      <c r="A47" s="750">
        <v>1</v>
      </c>
      <c r="B47" s="752" t="s">
        <v>950</v>
      </c>
      <c r="C47" s="805">
        <f>Исходные!P39*1000</f>
        <v>120000</v>
      </c>
      <c r="D47" s="805"/>
    </row>
    <row r="48" spans="1:4" s="748" customFormat="1" ht="18.75" x14ac:dyDescent="0.3">
      <c r="A48" s="750">
        <v>2</v>
      </c>
      <c r="B48" s="752" t="s">
        <v>951</v>
      </c>
      <c r="C48" s="805">
        <f>Исходные!P60</f>
        <v>0</v>
      </c>
      <c r="D48" s="805"/>
    </row>
    <row r="49" spans="1:4" s="748" customFormat="1" ht="22.5" x14ac:dyDescent="0.3">
      <c r="A49" s="750">
        <v>3</v>
      </c>
      <c r="B49" s="752" t="s">
        <v>976</v>
      </c>
      <c r="C49" s="805">
        <f>Исходные!P63*1000</f>
        <v>800000</v>
      </c>
      <c r="D49" s="805"/>
    </row>
    <row r="50" spans="1:4" s="748" customFormat="1" ht="22.5" x14ac:dyDescent="0.3">
      <c r="A50" s="750">
        <v>4</v>
      </c>
      <c r="B50" s="752" t="s">
        <v>977</v>
      </c>
      <c r="C50" s="805">
        <f>(Исходные!P45+Исходные!P48)*1000</f>
        <v>150000</v>
      </c>
      <c r="D50" s="805"/>
    </row>
    <row r="51" spans="1:4" s="748" customFormat="1" ht="22.5" x14ac:dyDescent="0.3">
      <c r="A51" s="750">
        <v>5</v>
      </c>
      <c r="B51" s="752" t="s">
        <v>978</v>
      </c>
      <c r="C51" s="805">
        <f>(Исходные!P51+Исходные!P54)*1000</f>
        <v>150000</v>
      </c>
      <c r="D51" s="805"/>
    </row>
    <row r="52" spans="1:4" s="748" customFormat="1" ht="75" x14ac:dyDescent="0.3">
      <c r="A52" s="750">
        <v>6</v>
      </c>
      <c r="B52" s="752" t="s">
        <v>952</v>
      </c>
      <c r="C52" s="793"/>
      <c r="D52" s="793"/>
    </row>
    <row r="53" spans="1:4" s="748" customFormat="1" ht="20.25" x14ac:dyDescent="0.3">
      <c r="A53" s="791" t="s">
        <v>953</v>
      </c>
      <c r="B53" s="791"/>
      <c r="C53" s="791"/>
      <c r="D53" s="791"/>
    </row>
    <row r="54" spans="1:4" s="748" customFormat="1" ht="37.5" x14ac:dyDescent="0.3">
      <c r="A54" s="792">
        <v>1</v>
      </c>
      <c r="B54" s="752" t="s">
        <v>954</v>
      </c>
      <c r="C54" s="805">
        <f>Инвестиции!D9/1000</f>
        <v>75</v>
      </c>
      <c r="D54" s="805"/>
    </row>
    <row r="55" spans="1:4" s="748" customFormat="1" ht="37.5" x14ac:dyDescent="0.3">
      <c r="A55" s="792"/>
      <c r="B55" s="752" t="s">
        <v>955</v>
      </c>
      <c r="C55" s="805">
        <f>SUM(Инвестиции!F9:H9)/1000</f>
        <v>75</v>
      </c>
      <c r="D55" s="805"/>
    </row>
    <row r="56" spans="1:4" s="748" customFormat="1" ht="37.5" x14ac:dyDescent="0.3">
      <c r="A56" s="792"/>
      <c r="B56" s="752" t="s">
        <v>956</v>
      </c>
      <c r="C56" s="805">
        <f>Финансы!D7/1000</f>
        <v>30</v>
      </c>
      <c r="D56" s="805"/>
    </row>
    <row r="57" spans="1:4" s="748" customFormat="1" ht="37.5" x14ac:dyDescent="0.3">
      <c r="A57" s="792"/>
      <c r="B57" s="752" t="s">
        <v>957</v>
      </c>
      <c r="C57" s="805">
        <f>SUM(Финансы!F7:H7)/1000</f>
        <v>30</v>
      </c>
      <c r="D57" s="805"/>
    </row>
    <row r="58" spans="1:4" s="748" customFormat="1" ht="18.75" x14ac:dyDescent="0.3">
      <c r="A58" s="750">
        <v>2</v>
      </c>
      <c r="B58" s="752" t="s">
        <v>958</v>
      </c>
      <c r="C58" s="811">
        <f>Исходные!P70</f>
        <v>26</v>
      </c>
      <c r="D58" s="812"/>
    </row>
    <row r="59" spans="1:4" s="748" customFormat="1" ht="37.5" x14ac:dyDescent="0.3">
      <c r="A59" s="792">
        <v>3</v>
      </c>
      <c r="B59" s="752" t="s">
        <v>959</v>
      </c>
      <c r="C59" s="809">
        <f ca="1">SUM(C60:D62)</f>
        <v>200.19042587029594</v>
      </c>
      <c r="D59" s="810"/>
    </row>
    <row r="60" spans="1:4" s="748" customFormat="1" ht="18.75" x14ac:dyDescent="0.3">
      <c r="A60" s="792"/>
      <c r="B60" s="752" t="s">
        <v>960</v>
      </c>
      <c r="C60" s="811">
        <f ca="1">НалогСвод!D16/1000</f>
        <v>158.6409773090669</v>
      </c>
      <c r="D60" s="812"/>
    </row>
    <row r="61" spans="1:4" s="748" customFormat="1" ht="18.75" x14ac:dyDescent="0.3">
      <c r="A61" s="792"/>
      <c r="B61" s="752" t="s">
        <v>961</v>
      </c>
      <c r="C61" s="811">
        <f ca="1">НалогСвод!D17/1000</f>
        <v>36.302709956415057</v>
      </c>
      <c r="D61" s="812"/>
    </row>
    <row r="62" spans="1:4" s="748" customFormat="1" ht="18.75" x14ac:dyDescent="0.3">
      <c r="A62" s="792"/>
      <c r="B62" s="752" t="s">
        <v>962</v>
      </c>
      <c r="C62" s="811">
        <f>НалогСвод!D18/1000</f>
        <v>5.246738604813963</v>
      </c>
      <c r="D62" s="812"/>
    </row>
    <row r="63" spans="1:4" s="748" customFormat="1" ht="18.75" x14ac:dyDescent="0.3">
      <c r="A63" s="792">
        <v>4</v>
      </c>
      <c r="B63" s="752" t="s">
        <v>963</v>
      </c>
      <c r="C63" s="809">
        <f ca="1">SUM(C64:D66)</f>
        <v>55.370314823465861</v>
      </c>
      <c r="D63" s="810"/>
    </row>
    <row r="64" spans="1:4" s="748" customFormat="1" ht="18.75" x14ac:dyDescent="0.3">
      <c r="A64" s="792"/>
      <c r="B64" s="752" t="s">
        <v>960</v>
      </c>
      <c r="C64" s="811">
        <f ca="1">НалогСвод!D23/1000</f>
        <v>2.0650067355662678</v>
      </c>
      <c r="D64" s="812"/>
    </row>
    <row r="65" spans="1:5" s="748" customFormat="1" ht="18.75" x14ac:dyDescent="0.3">
      <c r="A65" s="792"/>
      <c r="B65" s="752" t="s">
        <v>961</v>
      </c>
      <c r="C65" s="811">
        <f ca="1">НалогСвод!D24/1000</f>
        <v>45.621808087899602</v>
      </c>
      <c r="D65" s="812"/>
    </row>
    <row r="66" spans="1:5" s="748" customFormat="1" ht="18.75" x14ac:dyDescent="0.3">
      <c r="A66" s="792"/>
      <c r="B66" s="752" t="s">
        <v>962</v>
      </c>
      <c r="C66" s="811">
        <f>НалогСвод!D25/1000</f>
        <v>7.6834999999999969</v>
      </c>
      <c r="D66" s="812"/>
    </row>
    <row r="67" spans="1:5" s="748" customFormat="1" ht="37.5" x14ac:dyDescent="0.3">
      <c r="A67" s="750">
        <v>5</v>
      </c>
      <c r="B67" s="752" t="s">
        <v>964</v>
      </c>
      <c r="C67" s="813"/>
      <c r="D67" s="813"/>
    </row>
    <row r="68" spans="1:5" s="748" customFormat="1" ht="20.25" x14ac:dyDescent="0.3">
      <c r="A68" s="791" t="s">
        <v>965</v>
      </c>
      <c r="B68" s="791"/>
      <c r="C68" s="791"/>
      <c r="D68" s="791"/>
    </row>
    <row r="69" spans="1:5" s="748" customFormat="1" ht="18.75" x14ac:dyDescent="0.3">
      <c r="A69" s="792">
        <v>1</v>
      </c>
      <c r="B69" s="793" t="s">
        <v>966</v>
      </c>
      <c r="C69" s="757" t="s">
        <v>967</v>
      </c>
      <c r="D69" s="757" t="s">
        <v>968</v>
      </c>
    </row>
    <row r="70" spans="1:5" s="748" customFormat="1" ht="27" customHeight="1" x14ac:dyDescent="0.3">
      <c r="A70" s="792"/>
      <c r="B70" s="793"/>
      <c r="C70" s="770">
        <f ca="1">КПЭбезЛьгот!D9</f>
        <v>0.24218067526817319</v>
      </c>
      <c r="D70" s="770">
        <f ca="1">КПЭ!D9</f>
        <v>0.32991750836372369</v>
      </c>
    </row>
    <row r="71" spans="1:5" s="748" customFormat="1" ht="37.5" x14ac:dyDescent="0.3">
      <c r="A71" s="750">
        <v>2</v>
      </c>
      <c r="B71" s="752" t="s">
        <v>969</v>
      </c>
      <c r="C71" s="769">
        <f ca="1">КПЭбезЛьгот!D6/1000</f>
        <v>70.045745110342253</v>
      </c>
      <c r="D71" s="769">
        <f ca="1">КПЭ!D6/1000</f>
        <v>130.91776033869468</v>
      </c>
    </row>
    <row r="72" spans="1:5" s="748" customFormat="1" ht="18.75" x14ac:dyDescent="0.3">
      <c r="A72" s="750">
        <v>3</v>
      </c>
      <c r="B72" s="752" t="s">
        <v>970</v>
      </c>
      <c r="C72" s="768">
        <f ca="1">КПЭбезЛьгот!D7</f>
        <v>6</v>
      </c>
      <c r="D72" s="768">
        <f ca="1">КПЭ!D7</f>
        <v>6</v>
      </c>
    </row>
    <row r="73" spans="1:5" s="748" customFormat="1" ht="37.5" x14ac:dyDescent="0.3">
      <c r="A73" s="750">
        <v>4</v>
      </c>
      <c r="B73" s="752" t="s">
        <v>971</v>
      </c>
      <c r="C73" s="768">
        <f ca="1">КПЭбезЛьгот!D8</f>
        <v>7</v>
      </c>
      <c r="D73" s="768">
        <f ca="1">КПЭ!D8</f>
        <v>6</v>
      </c>
    </row>
    <row r="74" spans="1:5" s="748" customFormat="1" ht="18.75" x14ac:dyDescent="0.3">
      <c r="A74" s="750">
        <v>5</v>
      </c>
      <c r="B74" s="752" t="s">
        <v>972</v>
      </c>
      <c r="C74" s="769">
        <f ca="1">(БДРбезЛьгот!D25-БДРбезЛьгот!D20)/1000</f>
        <v>363.46150422257568</v>
      </c>
      <c r="D74" s="769">
        <f ca="1">(БДР!D25-БДР!D20)/1000</f>
        <v>416.29191955555007</v>
      </c>
    </row>
    <row r="75" spans="1:5" s="748" customFormat="1" ht="37.5" x14ac:dyDescent="0.3">
      <c r="A75" s="750">
        <v>6</v>
      </c>
      <c r="B75" s="752" t="s">
        <v>973</v>
      </c>
      <c r="C75" s="769">
        <f ca="1">(БДРбезЛьгот!D25-БДРбезЛьгот!D20--БДРбезЛьгот!D10)/1000</f>
        <v>319.62817088924237</v>
      </c>
      <c r="D75" s="769">
        <f ca="1">(БДР!D25-БДР!D20-БДР!D10)/1000</f>
        <v>474.79115765078819</v>
      </c>
    </row>
    <row r="76" spans="1:5" s="748" customFormat="1" ht="18.75" x14ac:dyDescent="0.3">
      <c r="A76" s="750">
        <v>7</v>
      </c>
      <c r="B76" s="752" t="s">
        <v>974</v>
      </c>
      <c r="C76" s="771">
        <f ca="1">КПЭбезЛьгот!D10</f>
        <v>0.93394326813789663</v>
      </c>
      <c r="D76" s="771">
        <f ca="1">КПЭ!D10</f>
        <v>1.7455701378492623</v>
      </c>
    </row>
    <row r="77" spans="1:5" s="748" customFormat="1" ht="18.75" x14ac:dyDescent="0.3"/>
    <row r="78" spans="1:5" s="748" customFormat="1" ht="18.75" x14ac:dyDescent="0.3">
      <c r="A78" s="773" t="s">
        <v>1090</v>
      </c>
    </row>
    <row r="79" spans="1:5" s="748" customFormat="1" ht="112.5" x14ac:dyDescent="0.3">
      <c r="A79" s="750">
        <v>1</v>
      </c>
      <c r="B79" s="751" t="s">
        <v>989</v>
      </c>
      <c r="C79" s="814" t="s">
        <v>1069</v>
      </c>
      <c r="D79" s="814"/>
      <c r="E79" s="786"/>
    </row>
    <row r="80" spans="1:5" s="748" customFormat="1" ht="75" x14ac:dyDescent="0.3">
      <c r="A80" s="750">
        <v>2</v>
      </c>
      <c r="B80" s="751" t="s">
        <v>990</v>
      </c>
      <c r="C80" s="814" t="s">
        <v>1069</v>
      </c>
      <c r="D80" s="814"/>
      <c r="E80" s="786"/>
    </row>
    <row r="81" spans="1:5" s="748" customFormat="1" ht="37.5" x14ac:dyDescent="0.3">
      <c r="A81" s="750">
        <v>3</v>
      </c>
      <c r="B81" s="751" t="s">
        <v>991</v>
      </c>
      <c r="C81" s="814" t="s">
        <v>1069</v>
      </c>
      <c r="D81" s="814"/>
      <c r="E81" s="786"/>
    </row>
    <row r="82" spans="1:5" s="748" customFormat="1" ht="75" x14ac:dyDescent="0.3">
      <c r="A82" s="750">
        <v>4</v>
      </c>
      <c r="B82" s="751" t="s">
        <v>992</v>
      </c>
      <c r="C82" s="814" t="s">
        <v>1069</v>
      </c>
      <c r="D82" s="814"/>
      <c r="E82" s="786"/>
    </row>
    <row r="83" spans="1:5" s="748" customFormat="1" ht="56.25" x14ac:dyDescent="0.3">
      <c r="A83" s="750">
        <v>5</v>
      </c>
      <c r="B83" s="751" t="s">
        <v>993</v>
      </c>
      <c r="C83" s="814" t="s">
        <v>1069</v>
      </c>
      <c r="D83" s="814"/>
      <c r="E83" s="786"/>
    </row>
    <row r="84" spans="1:5" s="748" customFormat="1" ht="18.75" x14ac:dyDescent="0.3"/>
    <row r="85" spans="1:5" s="748" customFormat="1" ht="42.75" customHeight="1" x14ac:dyDescent="0.3">
      <c r="B85" s="746"/>
      <c r="C85" s="756"/>
      <c r="D85" s="756" t="s">
        <v>981</v>
      </c>
    </row>
    <row r="86" spans="1:5" s="748" customFormat="1" ht="76.5" x14ac:dyDescent="0.3">
      <c r="B86" s="753">
        <v>45440</v>
      </c>
      <c r="C86" s="746"/>
      <c r="D86" s="749" t="s">
        <v>994</v>
      </c>
    </row>
    <row r="87" spans="1:5" s="748" customFormat="1" ht="18.75" x14ac:dyDescent="0.3">
      <c r="B87" s="754"/>
      <c r="C87" s="747"/>
      <c r="D87" s="755"/>
    </row>
    <row r="88" spans="1:5" s="748" customFormat="1" ht="18.75" x14ac:dyDescent="0.3">
      <c r="B88" s="754"/>
      <c r="C88" s="747"/>
      <c r="D88" s="755"/>
    </row>
    <row r="89" spans="1:5" s="748" customFormat="1" ht="60.75" x14ac:dyDescent="0.3">
      <c r="B89" s="754"/>
      <c r="C89" s="747"/>
      <c r="D89" s="167" t="s">
        <v>1026</v>
      </c>
    </row>
    <row r="90" spans="1:5" s="748" customFormat="1" ht="18.75" x14ac:dyDescent="0.3">
      <c r="B90" s="794" t="s">
        <v>1027</v>
      </c>
      <c r="C90" s="795"/>
      <c r="D90" s="755"/>
    </row>
    <row r="91" spans="1:5" s="748" customFormat="1" ht="18.75" x14ac:dyDescent="0.3">
      <c r="B91" s="754"/>
      <c r="C91" s="747"/>
      <c r="D91" s="755"/>
    </row>
    <row r="92" spans="1:5" s="748" customFormat="1" ht="20.25" x14ac:dyDescent="0.3">
      <c r="A92" s="791" t="s">
        <v>995</v>
      </c>
      <c r="B92" s="791"/>
      <c r="C92" s="791"/>
      <c r="D92" s="791"/>
    </row>
    <row r="93" spans="1:5" s="748" customFormat="1" ht="18.75" x14ac:dyDescent="0.3">
      <c r="A93" s="750">
        <v>1</v>
      </c>
      <c r="B93" s="752" t="s">
        <v>996</v>
      </c>
      <c r="C93" s="806" t="str" cm="1">
        <f t="array" aca="1" ref="C93" ca="1">HYPERLINK(CELL("адрес",Макро!$A$1),"Перейти к листу Макро")</f>
        <v>Перейти к листу Макро</v>
      </c>
      <c r="D93" s="792"/>
    </row>
    <row r="94" spans="1:5" s="748" customFormat="1" ht="18.75" x14ac:dyDescent="0.3">
      <c r="A94" s="750">
        <v>2</v>
      </c>
      <c r="B94" s="752" t="s">
        <v>997</v>
      </c>
      <c r="C94" s="793"/>
      <c r="D94" s="793"/>
    </row>
    <row r="95" spans="1:5" s="748" customFormat="1" ht="18.75" x14ac:dyDescent="0.3">
      <c r="A95" s="750">
        <v>3</v>
      </c>
      <c r="B95" s="752" t="s">
        <v>998</v>
      </c>
      <c r="C95" s="793"/>
      <c r="D95" s="793"/>
    </row>
    <row r="96" spans="1:5" s="748" customFormat="1" ht="18.75" x14ac:dyDescent="0.3">
      <c r="A96" s="750">
        <v>4</v>
      </c>
      <c r="B96" s="752" t="s">
        <v>999</v>
      </c>
      <c r="C96" s="793"/>
      <c r="D96" s="793"/>
    </row>
    <row r="97" spans="1:4" s="748" customFormat="1" ht="37.5" x14ac:dyDescent="0.3">
      <c r="A97" s="750">
        <v>5</v>
      </c>
      <c r="B97" s="752" t="s">
        <v>1000</v>
      </c>
      <c r="C97" s="806" t="str" cm="1">
        <f t="array" aca="1" ref="C97" ca="1">HYPERLINK(CELL("адрес",КПЭ!$A$1),"Перейти к листу КПЭ")</f>
        <v>Перейти к листу КПЭ</v>
      </c>
      <c r="D97" s="792"/>
    </row>
    <row r="98" spans="1:4" s="748" customFormat="1" ht="18.75" x14ac:dyDescent="0.3">
      <c r="A98" s="796" t="s">
        <v>1029</v>
      </c>
      <c r="B98" s="797"/>
      <c r="C98" s="797"/>
      <c r="D98" s="798"/>
    </row>
    <row r="99" spans="1:4" s="748" customFormat="1" ht="18.75" x14ac:dyDescent="0.3">
      <c r="A99" s="802"/>
      <c r="B99" s="803"/>
      <c r="C99" s="803"/>
      <c r="D99" s="804"/>
    </row>
    <row r="100" spans="1:4" s="748" customFormat="1" ht="20.25" x14ac:dyDescent="0.3">
      <c r="A100" s="791" t="s">
        <v>1001</v>
      </c>
      <c r="B100" s="791"/>
      <c r="C100" s="791"/>
      <c r="D100" s="791"/>
    </row>
    <row r="101" spans="1:4" s="748" customFormat="1" ht="48.4" customHeight="1" x14ac:dyDescent="0.3">
      <c r="A101" s="792">
        <v>1</v>
      </c>
      <c r="B101" s="752" t="s">
        <v>1002</v>
      </c>
      <c r="C101" s="808" t="str" cm="1">
        <f t="array" aca="1" ref="C101" ca="1">HYPERLINK(CELL("адрес",Себестоимость!$A$1),"Перейти к листу Себесоимость")</f>
        <v>Перейти к листу Себесоимость</v>
      </c>
      <c r="D101" s="792"/>
    </row>
    <row r="102" spans="1:4" s="748" customFormat="1" ht="48.4" customHeight="1" x14ac:dyDescent="0.3">
      <c r="A102" s="792"/>
      <c r="B102" s="752" t="s">
        <v>1003</v>
      </c>
      <c r="C102" s="806" t="str" cm="1">
        <f t="array" aca="1" ref="C102" ca="1">HYPERLINK(CELL("адрес",Персонал!$A$1),"Перейти к листу Персонал")</f>
        <v>Перейти к листу Персонал</v>
      </c>
      <c r="D102" s="792"/>
    </row>
    <row r="103" spans="1:4" s="748" customFormat="1" ht="48.4" customHeight="1" x14ac:dyDescent="0.3">
      <c r="A103" s="792"/>
      <c r="B103" s="752" t="s">
        <v>1004</v>
      </c>
      <c r="C103" s="806" t="str" cm="1">
        <f t="array" aca="1" ref="C103" ca="1">HYPERLINK(CELL("адрес",Ресурсы!$A$1),"Перейти к листу Ресурсы")</f>
        <v>Перейти к листу Ресурсы</v>
      </c>
      <c r="D103" s="792"/>
    </row>
    <row r="104" spans="1:4" s="748" customFormat="1" ht="48.4" customHeight="1" x14ac:dyDescent="0.3">
      <c r="A104" s="792"/>
      <c r="B104" s="752" t="s">
        <v>1005</v>
      </c>
      <c r="C104" s="808" t="str" cm="1">
        <f t="array" aca="1" ref="C104" ca="1">HYPERLINK(CELL("адрес",Инвестиции!$A$1),"Перейти к листу Инвестиции")</f>
        <v>Перейти к листу Инвестиции</v>
      </c>
      <c r="D104" s="792"/>
    </row>
    <row r="105" spans="1:4" s="748" customFormat="1" ht="59.25" customHeight="1" x14ac:dyDescent="0.3">
      <c r="A105" s="750">
        <v>2</v>
      </c>
      <c r="B105" s="752" t="s">
        <v>1006</v>
      </c>
      <c r="C105" s="806" t="str" cm="1">
        <f t="array" aca="1" ref="C105" ca="1">HYPERLINK(CELL("адрес",Инвестиции!$A$1),"Перейти к листу Инвестиции")</f>
        <v>Перейти к листу Инвестиции</v>
      </c>
      <c r="D105" s="792"/>
    </row>
    <row r="106" spans="1:4" s="748" customFormat="1" ht="48.4" customHeight="1" x14ac:dyDescent="0.3">
      <c r="A106" s="792">
        <v>3</v>
      </c>
      <c r="B106" s="752" t="s">
        <v>1007</v>
      </c>
      <c r="C106" s="806" t="str" cm="1">
        <f t="array" aca="1" ref="C106" ca="1">HYPERLINK(CELL("адрес",Выручка!$A$1),"Перейти к листу Выручка")</f>
        <v>Перейти к листу Выручка</v>
      </c>
      <c r="D106" s="792"/>
    </row>
    <row r="107" spans="1:4" s="748" customFormat="1" ht="48.4" customHeight="1" x14ac:dyDescent="0.3">
      <c r="A107" s="792"/>
      <c r="B107" s="752" t="s">
        <v>1008</v>
      </c>
      <c r="C107" s="806" t="str" cm="1">
        <f t="array" aca="1" ref="C107" ca="1">HYPERLINK(CELL("адрес",Выручка!$A$1),"Перейти к листу Выручка")</f>
        <v>Перейти к листу Выручка</v>
      </c>
      <c r="D107" s="792"/>
    </row>
    <row r="108" spans="1:4" s="748" customFormat="1" ht="62.25" customHeight="1" x14ac:dyDescent="0.3">
      <c r="A108" s="807" t="s">
        <v>1009</v>
      </c>
      <c r="B108" s="807"/>
      <c r="C108" s="807"/>
      <c r="D108" s="807"/>
    </row>
    <row r="109" spans="1:4" s="748" customFormat="1" ht="20.25" x14ac:dyDescent="0.3">
      <c r="A109" s="791" t="s">
        <v>1010</v>
      </c>
      <c r="B109" s="791"/>
      <c r="C109" s="791"/>
      <c r="D109" s="791"/>
    </row>
    <row r="110" spans="1:4" s="748" customFormat="1" ht="18.75" x14ac:dyDescent="0.3">
      <c r="A110" s="750">
        <v>1</v>
      </c>
      <c r="B110" s="752" t="s">
        <v>1011</v>
      </c>
      <c r="C110" s="806" t="str" cm="1">
        <f t="array" aca="1" ref="C110" ca="1">HYPERLINK(CELL("адрес",Баланс!A1),"Перейти к листу Баланс")</f>
        <v>Перейти к листу Баланс</v>
      </c>
      <c r="D110" s="792"/>
    </row>
    <row r="111" spans="1:4" s="748" customFormat="1" ht="18.75" x14ac:dyDescent="0.3">
      <c r="A111" s="750">
        <v>2</v>
      </c>
      <c r="B111" s="752" t="s">
        <v>1012</v>
      </c>
      <c r="C111" s="806" t="str" cm="1">
        <f t="array" aca="1" ref="C111" ca="1">HYPERLINK(CELL("адрес",БДР!A1),"Перейти к листу прогнозный отчет о фин.результатах")</f>
        <v>Перейти к листу прогнозный отчет о фин.результатах</v>
      </c>
      <c r="D111" s="792"/>
    </row>
    <row r="112" spans="1:4" s="748" customFormat="1" ht="18.75" x14ac:dyDescent="0.3">
      <c r="A112" s="750">
        <v>3</v>
      </c>
      <c r="B112" s="752" t="s">
        <v>1013</v>
      </c>
      <c r="C112" s="806" t="str" cm="1">
        <f t="array" aca="1" ref="C112" ca="1">HYPERLINK(CELL("адрес",БДДС!A1),"Перейти на лист прогнозный отчет о движ.ден.средств")</f>
        <v>Перейти на лист прогнозный отчет о движ.ден.средств</v>
      </c>
      <c r="D112" s="792"/>
    </row>
    <row r="113" spans="1:4" s="748" customFormat="1" ht="20.25" x14ac:dyDescent="0.3">
      <c r="A113" s="791" t="s">
        <v>1014</v>
      </c>
      <c r="B113" s="791"/>
      <c r="C113" s="791"/>
      <c r="D113" s="791"/>
    </row>
    <row r="114" spans="1:4" s="748" customFormat="1" ht="37.5" x14ac:dyDescent="0.3">
      <c r="A114" s="750">
        <v>1</v>
      </c>
      <c r="B114" s="752" t="s">
        <v>1015</v>
      </c>
      <c r="C114" s="805">
        <f ca="1">SUM(НалогСвод!D16,НалогСвод!D17,НалогСвод!D18)/1000</f>
        <v>200.19042587029591</v>
      </c>
      <c r="D114" s="805"/>
    </row>
    <row r="115" spans="1:4" s="748" customFormat="1" ht="18.75" x14ac:dyDescent="0.3">
      <c r="A115" s="750">
        <v>2</v>
      </c>
      <c r="B115" s="752" t="s">
        <v>1016</v>
      </c>
      <c r="C115" s="793"/>
      <c r="D115" s="793"/>
    </row>
    <row r="116" spans="1:4" s="748" customFormat="1" ht="18.75" x14ac:dyDescent="0.3">
      <c r="A116" s="750">
        <v>3</v>
      </c>
      <c r="B116" s="752" t="s">
        <v>548</v>
      </c>
      <c r="C116" s="805">
        <f>НалогСвод!D19/1000</f>
        <v>19.937606698293056</v>
      </c>
      <c r="D116" s="805"/>
    </row>
    <row r="117" spans="1:4" s="748" customFormat="1" ht="37.5" x14ac:dyDescent="0.3">
      <c r="A117" s="750">
        <v>4</v>
      </c>
      <c r="B117" s="752" t="s">
        <v>1017</v>
      </c>
      <c r="C117" s="805">
        <f ca="1">SUM(НалогСвод!D29,НалогСвод!D30,НалогСвод!D31)/1000</f>
        <v>55.370314823465883</v>
      </c>
      <c r="D117" s="805"/>
    </row>
    <row r="118" spans="1:4" s="748" customFormat="1" ht="18.75" x14ac:dyDescent="0.3">
      <c r="A118" s="750">
        <v>5</v>
      </c>
      <c r="B118" s="752" t="s">
        <v>1018</v>
      </c>
      <c r="C118" s="793"/>
      <c r="D118" s="793"/>
    </row>
    <row r="119" spans="1:4" s="748" customFormat="1" ht="18.75" x14ac:dyDescent="0.3">
      <c r="A119" s="750">
        <v>6</v>
      </c>
      <c r="B119" s="752" t="s">
        <v>1019</v>
      </c>
      <c r="C119" s="805">
        <f>НалогСвод!D26/1000</f>
        <v>59.812820094879179</v>
      </c>
      <c r="D119" s="805"/>
    </row>
    <row r="120" spans="1:4" s="748" customFormat="1" ht="18.75" x14ac:dyDescent="0.3">
      <c r="A120" s="796" t="s">
        <v>1028</v>
      </c>
      <c r="B120" s="797"/>
      <c r="C120" s="797"/>
      <c r="D120" s="798"/>
    </row>
    <row r="121" spans="1:4" s="748" customFormat="1" ht="28.5" customHeight="1" x14ac:dyDescent="0.3">
      <c r="A121" s="799"/>
      <c r="B121" s="800"/>
      <c r="C121" s="800"/>
      <c r="D121" s="801"/>
    </row>
    <row r="122" spans="1:4" s="748" customFormat="1" ht="20.25" x14ac:dyDescent="0.3">
      <c r="A122" s="791" t="s">
        <v>1020</v>
      </c>
      <c r="B122" s="791"/>
      <c r="C122" s="791"/>
      <c r="D122" s="791"/>
    </row>
    <row r="123" spans="1:4" s="748" customFormat="1" ht="18.75" x14ac:dyDescent="0.3">
      <c r="A123" s="792">
        <v>1</v>
      </c>
      <c r="B123" s="793" t="s">
        <v>1021</v>
      </c>
      <c r="C123" s="757" t="s">
        <v>967</v>
      </c>
      <c r="D123" s="757" t="s">
        <v>968</v>
      </c>
    </row>
    <row r="124" spans="1:4" s="748" customFormat="1" ht="18.75" x14ac:dyDescent="0.3">
      <c r="A124" s="792"/>
      <c r="B124" s="793"/>
      <c r="C124" s="770">
        <f ca="1">КПЭбезЛьгот!D9</f>
        <v>0.24218067526817319</v>
      </c>
      <c r="D124" s="770">
        <f ca="1">КПЭ!D9</f>
        <v>0.32991750836372369</v>
      </c>
    </row>
    <row r="125" spans="1:4" s="748" customFormat="1" ht="18.75" x14ac:dyDescent="0.3">
      <c r="A125" s="750">
        <v>2</v>
      </c>
      <c r="B125" s="752" t="s">
        <v>1022</v>
      </c>
      <c r="C125" s="769">
        <f ca="1">КПЭбезЛьгот!D6/1000</f>
        <v>70.045745110342253</v>
      </c>
      <c r="D125" s="769">
        <f ca="1">КПЭ!D6/1000</f>
        <v>130.91776033869468</v>
      </c>
    </row>
    <row r="126" spans="1:4" s="748" customFormat="1" ht="18.75" x14ac:dyDescent="0.3">
      <c r="A126" s="750">
        <v>3</v>
      </c>
      <c r="B126" s="752" t="s">
        <v>1023</v>
      </c>
      <c r="C126" s="768">
        <f ca="1">КПЭбезЛьгот!D7</f>
        <v>6</v>
      </c>
      <c r="D126" s="768">
        <f ca="1">КПЭ!D7</f>
        <v>6</v>
      </c>
    </row>
    <row r="127" spans="1:4" s="748" customFormat="1" ht="18.75" x14ac:dyDescent="0.3">
      <c r="A127" s="750">
        <v>4</v>
      </c>
      <c r="B127" s="752" t="s">
        <v>1024</v>
      </c>
      <c r="C127" s="768">
        <f ca="1">КПЭбезЛьгот!D8</f>
        <v>7</v>
      </c>
      <c r="D127" s="768">
        <f ca="1">КПЭ!D8</f>
        <v>6</v>
      </c>
    </row>
    <row r="128" spans="1:4" s="748" customFormat="1" ht="18.75" x14ac:dyDescent="0.3">
      <c r="A128" s="750">
        <v>5</v>
      </c>
      <c r="B128" s="752" t="s">
        <v>1025</v>
      </c>
      <c r="C128" s="771">
        <f ca="1">КПЭбезЛьгот!D10</f>
        <v>0.93394326813789663</v>
      </c>
      <c r="D128" s="771">
        <f ca="1">КПЭ!D10</f>
        <v>1.7455701378492623</v>
      </c>
    </row>
    <row r="129" spans="1:4" s="748" customFormat="1" ht="18.75" x14ac:dyDescent="0.3">
      <c r="A129" s="760"/>
      <c r="B129" s="761"/>
      <c r="C129" s="762"/>
      <c r="D129" s="762"/>
    </row>
    <row r="130" spans="1:4" s="748" customFormat="1" ht="18.75" x14ac:dyDescent="0.3">
      <c r="A130" s="760"/>
      <c r="B130" s="761"/>
      <c r="C130" s="762"/>
      <c r="D130" s="762"/>
    </row>
    <row r="131" spans="1:4" s="748" customFormat="1" ht="18.75" x14ac:dyDescent="0.3">
      <c r="A131" s="760"/>
      <c r="B131" s="761"/>
      <c r="C131" s="762"/>
      <c r="D131" s="762"/>
    </row>
    <row r="132" spans="1:4" s="748" customFormat="1" ht="18.75" x14ac:dyDescent="0.3">
      <c r="A132" s="760"/>
      <c r="B132" s="761"/>
      <c r="C132" s="762"/>
      <c r="D132" s="762"/>
    </row>
    <row r="133" spans="1:4" s="748" customFormat="1" ht="18.75" x14ac:dyDescent="0.3">
      <c r="A133" s="760"/>
      <c r="B133" s="761"/>
      <c r="C133" s="762"/>
      <c r="D133" s="762"/>
    </row>
    <row r="134" spans="1:4" s="748" customFormat="1" ht="18.75" x14ac:dyDescent="0.3">
      <c r="A134" s="760"/>
      <c r="B134" s="761"/>
      <c r="C134" s="762"/>
      <c r="D134" s="762"/>
    </row>
    <row r="135" spans="1:4" s="748" customFormat="1" ht="18.75" x14ac:dyDescent="0.3">
      <c r="A135" s="760"/>
      <c r="B135" s="761"/>
      <c r="C135" s="762"/>
      <c r="D135" s="762"/>
    </row>
    <row r="136" spans="1:4" s="748" customFormat="1" ht="18.75" x14ac:dyDescent="0.3">
      <c r="A136" s="760"/>
      <c r="B136" s="761"/>
      <c r="C136" s="762"/>
      <c r="D136" s="762"/>
    </row>
    <row r="137" spans="1:4" s="748" customFormat="1" ht="18.75" x14ac:dyDescent="0.3">
      <c r="A137" s="760"/>
      <c r="B137" s="761"/>
      <c r="C137" s="762"/>
      <c r="D137" s="762"/>
    </row>
    <row r="138" spans="1:4" s="748" customFormat="1" ht="18.75" x14ac:dyDescent="0.3">
      <c r="A138" s="760"/>
      <c r="B138" s="761"/>
      <c r="C138" s="762"/>
      <c r="D138" s="762"/>
    </row>
    <row r="139" spans="1:4" s="748" customFormat="1" ht="18.75" x14ac:dyDescent="0.3">
      <c r="A139" s="760"/>
      <c r="B139" s="761"/>
      <c r="C139" s="762"/>
      <c r="D139" s="762"/>
    </row>
    <row r="140" spans="1:4" s="748" customFormat="1" ht="18.75" x14ac:dyDescent="0.3">
      <c r="A140" s="760"/>
      <c r="B140" s="761"/>
      <c r="C140" s="762"/>
      <c r="D140" s="762"/>
    </row>
    <row r="141" spans="1:4" s="748" customFormat="1" ht="18.75" x14ac:dyDescent="0.3">
      <c r="A141" s="760"/>
      <c r="B141" s="761"/>
      <c r="C141" s="762"/>
      <c r="D141" s="762"/>
    </row>
    <row r="142" spans="1:4" s="748" customFormat="1" ht="18.75" x14ac:dyDescent="0.3">
      <c r="A142" s="760"/>
      <c r="B142" s="761"/>
      <c r="C142" s="762"/>
      <c r="D142" s="762"/>
    </row>
    <row r="143" spans="1:4" s="748" customFormat="1" ht="18.75" x14ac:dyDescent="0.3">
      <c r="A143" s="760"/>
      <c r="B143" s="761"/>
      <c r="C143" s="762"/>
      <c r="D143" s="762"/>
    </row>
    <row r="144" spans="1:4" s="748" customFormat="1" ht="18.75" x14ac:dyDescent="0.3">
      <c r="A144" s="760"/>
      <c r="B144" s="761"/>
      <c r="C144" s="762"/>
      <c r="D144" s="762"/>
    </row>
    <row r="145" spans="1:4" s="748" customFormat="1" ht="18.75" x14ac:dyDescent="0.3">
      <c r="A145" s="760"/>
      <c r="B145" s="761"/>
      <c r="C145" s="762"/>
      <c r="D145" s="762"/>
    </row>
    <row r="146" spans="1:4" s="748" customFormat="1" ht="18.75" hidden="1" x14ac:dyDescent="0.3">
      <c r="A146" s="760"/>
      <c r="B146" s="761"/>
      <c r="C146" s="762"/>
      <c r="D146" s="762"/>
    </row>
    <row r="147" spans="1:4" s="748" customFormat="1" ht="18.75" hidden="1" x14ac:dyDescent="0.3">
      <c r="A147" s="760"/>
      <c r="B147" s="761"/>
      <c r="C147" s="762"/>
      <c r="D147" s="762"/>
    </row>
    <row r="148" spans="1:4" s="748" customFormat="1" ht="18.75" hidden="1" x14ac:dyDescent="0.3">
      <c r="A148" s="760"/>
      <c r="B148" s="761"/>
      <c r="C148" s="762"/>
      <c r="D148" s="762"/>
    </row>
    <row r="149" spans="1:4" s="748" customFormat="1" ht="18.75" hidden="1" x14ac:dyDescent="0.3">
      <c r="A149" s="760"/>
      <c r="B149" s="761"/>
      <c r="C149" s="762"/>
      <c r="D149" s="762"/>
    </row>
    <row r="150" spans="1:4" s="748" customFormat="1" ht="18.75" hidden="1" x14ac:dyDescent="0.3">
      <c r="A150" s="760"/>
      <c r="B150" s="761"/>
      <c r="C150" s="762"/>
      <c r="D150" s="762"/>
    </row>
    <row r="151" spans="1:4" s="748" customFormat="1" ht="18.75" x14ac:dyDescent="0.3">
      <c r="A151" s="760"/>
      <c r="B151" s="761"/>
      <c r="C151" s="762"/>
      <c r="D151" s="762"/>
    </row>
    <row r="152" spans="1:4" s="748" customFormat="1" ht="18.75" x14ac:dyDescent="0.3">
      <c r="A152" s="760"/>
      <c r="B152" s="761"/>
      <c r="C152" s="762"/>
      <c r="D152" s="762"/>
    </row>
    <row r="153" spans="1:4" s="748" customFormat="1" ht="18.75" x14ac:dyDescent="0.3">
      <c r="A153" s="760"/>
      <c r="B153" s="761"/>
      <c r="C153" s="762"/>
      <c r="D153" s="762"/>
    </row>
    <row r="154" spans="1:4" s="748" customFormat="1" ht="18.75" x14ac:dyDescent="0.3">
      <c r="B154" s="754"/>
      <c r="C154" s="747"/>
      <c r="D154" s="755"/>
    </row>
    <row r="155" spans="1:4" s="748" customFormat="1" ht="18.75" x14ac:dyDescent="0.3">
      <c r="B155" s="754"/>
      <c r="C155" s="747"/>
      <c r="D155" s="755"/>
    </row>
    <row r="156" spans="1:4" s="748" customFormat="1" ht="18.75" hidden="1" x14ac:dyDescent="0.3">
      <c r="B156" s="754"/>
      <c r="C156" s="747"/>
      <c r="D156" s="755"/>
    </row>
    <row r="157" spans="1:4" s="748" customFormat="1" ht="18.75" hidden="1" x14ac:dyDescent="0.3">
      <c r="B157" s="754"/>
      <c r="C157" s="747"/>
      <c r="D157" s="755"/>
    </row>
    <row r="158" spans="1:4" s="748" customFormat="1" ht="18.75" hidden="1" x14ac:dyDescent="0.3">
      <c r="B158" s="754"/>
      <c r="C158" s="747"/>
      <c r="D158" s="755"/>
    </row>
    <row r="159" spans="1:4" s="748" customFormat="1" ht="18.75" hidden="1" x14ac:dyDescent="0.3">
      <c r="B159" s="754"/>
      <c r="C159" s="747"/>
      <c r="D159" s="755"/>
    </row>
    <row r="160" spans="1:4" s="748" customFormat="1" ht="18.75" hidden="1" x14ac:dyDescent="0.3">
      <c r="B160" s="754"/>
      <c r="C160" s="747"/>
      <c r="D160" s="755"/>
    </row>
    <row r="161" spans="2:4" s="748" customFormat="1" ht="18.75" hidden="1" x14ac:dyDescent="0.3">
      <c r="B161" s="754"/>
      <c r="C161" s="747"/>
      <c r="D161" s="755"/>
    </row>
    <row r="162" spans="2:4" s="748" customFormat="1" ht="18.75" hidden="1" x14ac:dyDescent="0.3">
      <c r="B162" s="754"/>
      <c r="C162" s="747"/>
      <c r="D162" s="755"/>
    </row>
    <row r="163" spans="2:4" s="748" customFormat="1" ht="18.75" hidden="1" x14ac:dyDescent="0.3">
      <c r="B163" s="754"/>
      <c r="C163" s="747"/>
      <c r="D163" s="755"/>
    </row>
    <row r="164" spans="2:4" s="748" customFormat="1" ht="18.75" hidden="1" x14ac:dyDescent="0.3">
      <c r="B164" s="754"/>
      <c r="C164" s="747"/>
      <c r="D164" s="755"/>
    </row>
    <row r="165" spans="2:4" s="748" customFormat="1" ht="18.75" hidden="1" x14ac:dyDescent="0.3">
      <c r="B165" s="754"/>
      <c r="C165" s="747"/>
      <c r="D165" s="755"/>
    </row>
    <row r="166" spans="2:4" s="748" customFormat="1" ht="18.75" hidden="1" x14ac:dyDescent="0.3">
      <c r="B166" s="754"/>
      <c r="C166" s="747"/>
      <c r="D166" s="755"/>
    </row>
    <row r="167" spans="2:4" s="748" customFormat="1" ht="18.75" hidden="1" x14ac:dyDescent="0.3">
      <c r="B167" s="754"/>
      <c r="C167" s="747"/>
      <c r="D167" s="755"/>
    </row>
    <row r="168" spans="2:4" s="748" customFormat="1" ht="18.75" hidden="1" x14ac:dyDescent="0.3">
      <c r="B168" s="754"/>
      <c r="C168" s="747"/>
      <c r="D168" s="755"/>
    </row>
    <row r="169" spans="2:4" s="748" customFormat="1" ht="18.75" hidden="1" x14ac:dyDescent="0.3">
      <c r="B169" s="754"/>
      <c r="C169" s="747"/>
      <c r="D169" s="755"/>
    </row>
    <row r="170" spans="2:4" s="748" customFormat="1" ht="18.75" hidden="1" x14ac:dyDescent="0.3">
      <c r="B170" s="754"/>
      <c r="C170" s="747"/>
      <c r="D170" s="755"/>
    </row>
    <row r="171" spans="2:4" s="748" customFormat="1" ht="18.75" hidden="1" x14ac:dyDescent="0.3">
      <c r="B171" s="754"/>
      <c r="C171" s="747"/>
      <c r="D171" s="755"/>
    </row>
    <row r="172" spans="2:4" s="748" customFormat="1" ht="18.75" hidden="1" x14ac:dyDescent="0.3">
      <c r="B172" s="754"/>
      <c r="C172" s="747"/>
      <c r="D172" s="755"/>
    </row>
    <row r="173" spans="2:4" s="748" customFormat="1" ht="18.75" hidden="1" x14ac:dyDescent="0.3">
      <c r="B173" s="754"/>
      <c r="C173" s="747"/>
      <c r="D173" s="755"/>
    </row>
    <row r="174" spans="2:4" s="748" customFormat="1" ht="18.75" hidden="1" x14ac:dyDescent="0.3">
      <c r="B174" s="754"/>
      <c r="C174" s="747"/>
      <c r="D174" s="755"/>
    </row>
    <row r="175" spans="2:4" s="748" customFormat="1" ht="18.75" hidden="1" x14ac:dyDescent="0.3">
      <c r="B175" s="754"/>
      <c r="C175" s="747"/>
      <c r="D175" s="755"/>
    </row>
    <row r="176" spans="2:4" s="748" customFormat="1" ht="18.75" hidden="1" x14ac:dyDescent="0.3">
      <c r="B176" s="754"/>
      <c r="C176" s="747"/>
      <c r="D176" s="755"/>
    </row>
    <row r="177" spans="2:4" s="748" customFormat="1" ht="18.75" hidden="1" x14ac:dyDescent="0.3">
      <c r="B177" s="754"/>
      <c r="C177" s="747"/>
      <c r="D177" s="755"/>
    </row>
    <row r="178" spans="2:4" s="748" customFormat="1" ht="18.75" hidden="1" x14ac:dyDescent="0.3">
      <c r="B178" s="754"/>
      <c r="C178" s="747"/>
      <c r="D178" s="755"/>
    </row>
    <row r="179" spans="2:4" s="748" customFormat="1" ht="18.75" hidden="1" x14ac:dyDescent="0.3">
      <c r="B179" s="754"/>
      <c r="C179" s="747"/>
      <c r="D179" s="755"/>
    </row>
    <row r="180" spans="2:4" s="748" customFormat="1" ht="18.75" hidden="1" x14ac:dyDescent="0.3">
      <c r="B180" s="754"/>
      <c r="C180" s="747"/>
      <c r="D180" s="755"/>
    </row>
    <row r="181" spans="2:4" s="748" customFormat="1" ht="18.75" hidden="1" x14ac:dyDescent="0.3">
      <c r="B181" s="754"/>
      <c r="C181" s="747"/>
      <c r="D181" s="755"/>
    </row>
    <row r="182" spans="2:4" s="748" customFormat="1" ht="18.75" hidden="1" x14ac:dyDescent="0.3">
      <c r="B182" s="754"/>
      <c r="C182" s="747"/>
      <c r="D182" s="755"/>
    </row>
    <row r="183" spans="2:4" s="748" customFormat="1" ht="18.75" hidden="1" x14ac:dyDescent="0.3"/>
    <row r="184" spans="2:4" s="748" customFormat="1" ht="18.75" hidden="1" x14ac:dyDescent="0.3"/>
    <row r="185" spans="2:4" x14ac:dyDescent="0.25"/>
    <row r="186" spans="2:4" x14ac:dyDescent="0.25"/>
    <row r="187" spans="2:4" x14ac:dyDescent="0.25"/>
    <row r="188" spans="2:4" x14ac:dyDescent="0.25"/>
    <row r="189" spans="2:4" x14ac:dyDescent="0.25"/>
    <row r="190" spans="2:4" x14ac:dyDescent="0.25"/>
    <row r="191" spans="2:4" x14ac:dyDescent="0.25"/>
    <row r="192" spans="2:4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</sheetData>
  <mergeCells count="110">
    <mergeCell ref="B6:C6"/>
    <mergeCell ref="B8:C8"/>
    <mergeCell ref="A11:D11"/>
    <mergeCell ref="A12:D12"/>
    <mergeCell ref="C13:D13"/>
    <mergeCell ref="C14:D14"/>
    <mergeCell ref="A22:A25"/>
    <mergeCell ref="C22:D22"/>
    <mergeCell ref="C23:D23"/>
    <mergeCell ref="C24:D24"/>
    <mergeCell ref="C25:D25"/>
    <mergeCell ref="B7:C7"/>
    <mergeCell ref="A26:D26"/>
    <mergeCell ref="C15:D15"/>
    <mergeCell ref="C16:D16"/>
    <mergeCell ref="C17:D17"/>
    <mergeCell ref="A18:A21"/>
    <mergeCell ref="C18:D18"/>
    <mergeCell ref="C19:D19"/>
    <mergeCell ref="C20:D20"/>
    <mergeCell ref="C21:D21"/>
    <mergeCell ref="A33:A34"/>
    <mergeCell ref="C33:D33"/>
    <mergeCell ref="C34:D34"/>
    <mergeCell ref="C35:D35"/>
    <mergeCell ref="A36:A37"/>
    <mergeCell ref="C36:D36"/>
    <mergeCell ref="C37:D37"/>
    <mergeCell ref="C27:D27"/>
    <mergeCell ref="C28:D28"/>
    <mergeCell ref="C29:D29"/>
    <mergeCell ref="C30:D30"/>
    <mergeCell ref="C31:D31"/>
    <mergeCell ref="C32:D32"/>
    <mergeCell ref="C44:D44"/>
    <mergeCell ref="C45:D45"/>
    <mergeCell ref="A46:D46"/>
    <mergeCell ref="C47:D47"/>
    <mergeCell ref="C48:D48"/>
    <mergeCell ref="C49:D49"/>
    <mergeCell ref="C38:D38"/>
    <mergeCell ref="C39:D39"/>
    <mergeCell ref="C40:D40"/>
    <mergeCell ref="A41:D41"/>
    <mergeCell ref="C42:D42"/>
    <mergeCell ref="C43:D43"/>
    <mergeCell ref="C58:D58"/>
    <mergeCell ref="A59:A62"/>
    <mergeCell ref="C59:D59"/>
    <mergeCell ref="C60:D60"/>
    <mergeCell ref="C61:D61"/>
    <mergeCell ref="C62:D62"/>
    <mergeCell ref="C50:D50"/>
    <mergeCell ref="C51:D51"/>
    <mergeCell ref="C52:D52"/>
    <mergeCell ref="A53:D53"/>
    <mergeCell ref="A54:A57"/>
    <mergeCell ref="C54:D54"/>
    <mergeCell ref="C55:D55"/>
    <mergeCell ref="C56:D56"/>
    <mergeCell ref="C57:D57"/>
    <mergeCell ref="A68:D68"/>
    <mergeCell ref="A69:A70"/>
    <mergeCell ref="B69:B70"/>
    <mergeCell ref="A92:D92"/>
    <mergeCell ref="A63:A66"/>
    <mergeCell ref="C63:D63"/>
    <mergeCell ref="C64:D64"/>
    <mergeCell ref="C65:D65"/>
    <mergeCell ref="C66:D66"/>
    <mergeCell ref="C67:D67"/>
    <mergeCell ref="C79:D79"/>
    <mergeCell ref="C80:D80"/>
    <mergeCell ref="C81:D81"/>
    <mergeCell ref="C82:D82"/>
    <mergeCell ref="C83:D83"/>
    <mergeCell ref="A101:A104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A3:B3"/>
    <mergeCell ref="A122:D122"/>
    <mergeCell ref="A123:A124"/>
    <mergeCell ref="B123:B124"/>
    <mergeCell ref="B90:C90"/>
    <mergeCell ref="A120:D121"/>
    <mergeCell ref="A98:D99"/>
    <mergeCell ref="C116:D116"/>
    <mergeCell ref="C117:D117"/>
    <mergeCell ref="C118:D118"/>
    <mergeCell ref="C119:D119"/>
    <mergeCell ref="C110:D110"/>
    <mergeCell ref="C111:D111"/>
    <mergeCell ref="C112:D112"/>
    <mergeCell ref="A113:D113"/>
    <mergeCell ref="C114:D114"/>
    <mergeCell ref="C115:D115"/>
    <mergeCell ref="C105:D105"/>
    <mergeCell ref="A106:A107"/>
    <mergeCell ref="C106:D106"/>
    <mergeCell ref="C107:D107"/>
    <mergeCell ref="A108:D108"/>
    <mergeCell ref="A109:D109"/>
    <mergeCell ref="A100:D100"/>
  </mergeCells>
  <hyperlinks>
    <hyperlink ref="C20" r:id="rId1" xr:uid="{875FDDA2-B90F-4EFB-B469-0C58217EB2CC}"/>
    <hyperlink ref="C24" r:id="rId2" xr:uid="{4194E7B2-CAFB-44FE-A6A2-ADA11C2CB4F0}"/>
  </hyperlinks>
  <pageMargins left="0.70866141732283472" right="0.70866141732283472" top="0.74803149606299213" bottom="0.74803149606299213" header="0.31496062992125984" footer="0.31496062992125984"/>
  <pageSetup paperSize="9" scale="55" fitToHeight="20" orientation="portrait" r:id="rId3"/>
  <headerFooter>
    <oddFooter>&amp;C&amp;10&amp;P из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89EB-0CA4-4A98-A90C-DF914B0608B2}">
  <sheetPr codeName="Лист2">
    <tabColor theme="8" tint="0.79998168889431442"/>
    <pageSetUpPr fitToPage="1"/>
  </sheetPr>
  <dimension ref="A1:H57"/>
  <sheetViews>
    <sheetView showGridLines="0" zoomScale="115" zoomScaleNormal="115" workbookViewId="0">
      <pane xSplit="2" ySplit="4" topLeftCell="C5" activePane="bottomRight" state="frozen"/>
      <selection activeCell="C23" sqref="C23"/>
      <selection pane="topRight" activeCell="C23" sqref="C23"/>
      <selection pane="bottomLeft" activeCell="C23" sqref="C23"/>
      <selection pane="bottomRight" activeCell="A59" sqref="A59:XFD63"/>
    </sheetView>
  </sheetViews>
  <sheetFormatPr defaultColWidth="0" defaultRowHeight="15" x14ac:dyDescent="0.25"/>
  <cols>
    <col min="1" max="1" width="10.5703125" customWidth="1"/>
    <col min="2" max="2" width="30.42578125" style="75" customWidth="1"/>
    <col min="3" max="3" width="51.140625" style="7" customWidth="1"/>
    <col min="4" max="4" width="1.85546875" style="11" customWidth="1"/>
    <col min="5" max="5" width="26.140625" style="25" customWidth="1"/>
    <col min="6" max="6" width="8.85546875" customWidth="1"/>
    <col min="7" max="8" width="0" hidden="1" customWidth="1"/>
    <col min="9" max="16384" width="8.85546875" hidden="1"/>
  </cols>
  <sheetData>
    <row r="1" spans="1:5" ht="18.75" x14ac:dyDescent="0.25">
      <c r="A1" s="690" t="s">
        <v>0</v>
      </c>
      <c r="C1" s="99"/>
      <c r="D1" s="106"/>
      <c r="E1" s="113"/>
    </row>
    <row r="2" spans="1:5" x14ac:dyDescent="0.25">
      <c r="A2" s="71" t="str">
        <f>Паспорт_ФМ_резидент!B7</f>
        <v>Название инвест. проект 01</v>
      </c>
      <c r="C2" s="100" t="str">
        <f ca="1">Контроль!$Q$1</f>
        <v>Ошибок нет</v>
      </c>
      <c r="D2" s="106"/>
      <c r="E2" s="113"/>
    </row>
    <row r="3" spans="1:5" x14ac:dyDescent="0.25">
      <c r="A3" s="78" t="s">
        <v>230</v>
      </c>
      <c r="B3" s="92" t="s">
        <v>231</v>
      </c>
      <c r="C3" s="78" t="s">
        <v>29</v>
      </c>
      <c r="D3" s="107"/>
      <c r="E3" s="78" t="s">
        <v>737</v>
      </c>
    </row>
    <row r="4" spans="1:5" s="9" customFormat="1" ht="6.6" customHeight="1" x14ac:dyDescent="0.25">
      <c r="A4" s="79"/>
      <c r="B4" s="93"/>
      <c r="C4" s="101"/>
      <c r="D4" s="108"/>
      <c r="E4" s="114"/>
    </row>
    <row r="5" spans="1:5" ht="25.5" x14ac:dyDescent="0.25">
      <c r="A5" s="80"/>
      <c r="B5" s="94" t="str" cm="1">
        <f t="array" aca="1" ref="B5" ca="1">HYPERLINK(CELL("адрес",Оглавление!A1),"Оглавление")</f>
        <v>Оглавление</v>
      </c>
      <c r="C5" s="91" t="s">
        <v>495</v>
      </c>
      <c r="D5" s="109"/>
      <c r="E5" s="115" t="s">
        <v>390</v>
      </c>
    </row>
    <row r="6" spans="1:5" ht="25.5" x14ac:dyDescent="0.25">
      <c r="A6" s="787"/>
      <c r="B6" s="94" t="str" cm="1">
        <f t="array" aca="1" ref="B6" ca="1">HYPERLINK(CELL("адрес",Паспорт_ФМ_резидент!A1),"Паспорт")</f>
        <v>Паспорт</v>
      </c>
      <c r="C6" s="91" t="s">
        <v>916</v>
      </c>
      <c r="D6" s="110"/>
      <c r="E6" s="788" t="s">
        <v>1092</v>
      </c>
    </row>
    <row r="7" spans="1:5" ht="30" x14ac:dyDescent="0.25">
      <c r="A7" s="787"/>
      <c r="B7" s="789" t="str" cm="1">
        <f t="array" aca="1" ref="B7" ca="1">HYPERLINK(CELL("адрес",Оценка_инвестора!A2),"Оценка_инвестора")</f>
        <v>Оценка_инвестора</v>
      </c>
      <c r="C7" s="91" t="s">
        <v>1091</v>
      </c>
      <c r="D7" s="111"/>
      <c r="E7" s="116" t="s">
        <v>795</v>
      </c>
    </row>
    <row r="8" spans="1:5" x14ac:dyDescent="0.25">
      <c r="A8" s="80"/>
      <c r="B8" s="94" t="str" cm="1">
        <f t="array" aca="1" ref="B8" ca="1">HYPERLINK(CELL("адрес",Макро!A1),"Макро")</f>
        <v>Макро</v>
      </c>
      <c r="C8" s="91" t="s">
        <v>693</v>
      </c>
      <c r="D8" s="111"/>
      <c r="E8" s="117" t="s">
        <v>720</v>
      </c>
    </row>
    <row r="9" spans="1:5" ht="25.5" x14ac:dyDescent="0.25">
      <c r="A9" s="80"/>
      <c r="B9" s="95" t="str" cm="1">
        <f t="array" aca="1" ref="B9" ca="1">HYPERLINK(CELL("адрес",WACC!$A$1),"WACC")</f>
        <v>WACC</v>
      </c>
      <c r="C9" s="91" t="s">
        <v>369</v>
      </c>
      <c r="D9" s="110"/>
      <c r="E9" s="118" t="s">
        <v>391</v>
      </c>
    </row>
    <row r="10" spans="1:5" ht="25.5" x14ac:dyDescent="0.25">
      <c r="A10" s="80"/>
      <c r="B10" s="94" t="str" cm="1">
        <f t="array" aca="1" ref="B10" ca="1">HYPERLINK(CELL("адрес",Исходные!A1),"Исходные")</f>
        <v>Исходные</v>
      </c>
      <c r="C10" s="91" t="s">
        <v>692</v>
      </c>
      <c r="D10" s="110"/>
      <c r="E10" s="119" t="s">
        <v>796</v>
      </c>
    </row>
    <row r="11" spans="1:5" ht="30" x14ac:dyDescent="0.25">
      <c r="A11" s="81"/>
      <c r="B11" s="94" t="str" cm="1">
        <f t="array" aca="1" ref="B11" ca="1">HYPERLINK(CELL("адрес",КПЭ!A1),"КПЭ")</f>
        <v>КПЭ</v>
      </c>
      <c r="C11" s="91" t="s">
        <v>627</v>
      </c>
      <c r="D11" s="111"/>
      <c r="E11" s="120" t="s">
        <v>764</v>
      </c>
    </row>
    <row r="12" spans="1:5" ht="30" x14ac:dyDescent="0.25">
      <c r="A12" s="81"/>
      <c r="B12" s="94" t="str" cm="1">
        <f t="array" aca="1" ref="B12" ca="1">HYPERLINK(CELL("адрес",ИтогТаблицы!A1),"Итоговые таблицы")</f>
        <v>Итоговые таблицы</v>
      </c>
      <c r="C12" s="91" t="s">
        <v>499</v>
      </c>
      <c r="D12" s="111"/>
      <c r="E12" s="121" t="s">
        <v>721</v>
      </c>
    </row>
    <row r="13" spans="1:5" x14ac:dyDescent="0.25">
      <c r="A13" s="81"/>
      <c r="B13" s="94" t="str" cm="1">
        <f t="array" aca="1" ref="B13" ca="1">HYPERLINK(CELL("адрес",Дашборд_ИтогТабл!A1),"Дашборд Итоговые таблицы")</f>
        <v>Дашборд Итоговые таблицы</v>
      </c>
      <c r="C13" s="91" t="s">
        <v>822</v>
      </c>
      <c r="D13" s="111"/>
      <c r="E13" s="75"/>
    </row>
    <row r="14" spans="1:5" ht="30" x14ac:dyDescent="0.25">
      <c r="A14" s="81"/>
      <c r="B14" s="94" t="str" cm="1">
        <f t="array" aca="1" ref="B14" ca="1">HYPERLINK(CELL("адрес",Дашборд_Основной!A1),"Дашборд Основной")</f>
        <v>Дашборд Основной</v>
      </c>
      <c r="C14" s="91" t="s">
        <v>903</v>
      </c>
      <c r="D14" s="111"/>
      <c r="E14" s="75"/>
    </row>
    <row r="15" spans="1:5" ht="15" customHeight="1" x14ac:dyDescent="0.25">
      <c r="A15" s="81"/>
      <c r="B15" s="94" t="str" cm="1">
        <f t="array" aca="1" ref="B15" ca="1">HYPERLINK(CELL("адрес",БДР!A1),"БДР")</f>
        <v>БДР</v>
      </c>
      <c r="C15" s="91" t="s">
        <v>500</v>
      </c>
      <c r="D15" s="111"/>
      <c r="E15" s="75"/>
    </row>
    <row r="16" spans="1:5" ht="30" x14ac:dyDescent="0.25">
      <c r="A16" s="81"/>
      <c r="B16" s="94" t="str" cm="1">
        <f t="array" aca="1" ref="B16" ca="1">HYPERLINK(CELL("адрес",БДДС!A1),"БДДС")</f>
        <v>БДДС</v>
      </c>
      <c r="C16" s="91" t="s">
        <v>502</v>
      </c>
      <c r="D16" s="111"/>
      <c r="E16" s="75"/>
    </row>
    <row r="17" spans="1:5" x14ac:dyDescent="0.25">
      <c r="A17" s="81"/>
      <c r="B17" s="94" t="str" cm="1">
        <f t="array" aca="1" ref="B17" ca="1">HYPERLINK(CELL("адрес",Баланс!A1),"Баланс")</f>
        <v>Баланс</v>
      </c>
      <c r="C17" s="91" t="s">
        <v>501</v>
      </c>
      <c r="D17" s="111"/>
      <c r="E17" s="75"/>
    </row>
    <row r="18" spans="1:5" x14ac:dyDescent="0.25">
      <c r="A18" s="81"/>
      <c r="B18" s="94" t="str" cm="1">
        <f t="array" aca="1" ref="B18" ca="1">HYPERLINK(CELL("адрес",НалогСвод!A1),"Налоги свод")</f>
        <v>Налоги свод</v>
      </c>
      <c r="C18" s="91" t="s">
        <v>618</v>
      </c>
      <c r="D18" s="111"/>
      <c r="E18" s="122"/>
    </row>
    <row r="19" spans="1:5" ht="45" x14ac:dyDescent="0.25">
      <c r="A19" s="81"/>
      <c r="B19" s="95" t="str" cm="1">
        <f t="array" aca="1" ref="B19" ca="1">HYPERLINK(CELL("адрес",Чувствительность!$A$1),"Чувствительность")</f>
        <v>Чувствительность</v>
      </c>
      <c r="C19" s="102" t="s">
        <v>719</v>
      </c>
      <c r="D19" s="111"/>
      <c r="E19" s="75"/>
    </row>
    <row r="20" spans="1:5" x14ac:dyDescent="0.25">
      <c r="A20" s="81"/>
      <c r="B20" s="94" t="str" cm="1">
        <f t="array" aca="1" ref="B20" ca="1">HYPERLINK(CELL("адрес",Дашборд_налоги!A1),"Дашборд налоги")</f>
        <v>Дашборд налоги</v>
      </c>
      <c r="C20" s="91" t="s">
        <v>756</v>
      </c>
      <c r="D20" s="111"/>
      <c r="E20" s="75"/>
    </row>
    <row r="21" spans="1:5" ht="30" x14ac:dyDescent="0.25">
      <c r="A21" s="82"/>
      <c r="B21" s="94" t="str" cm="1">
        <f t="array" aca="1" ref="B21" ca="1">HYPERLINK(CELL("адрес",Инвестиции!A1),"Инвестиции")</f>
        <v>Инвестиции</v>
      </c>
      <c r="C21" s="91" t="s">
        <v>802</v>
      </c>
      <c r="D21" s="111"/>
      <c r="E21" s="75"/>
    </row>
    <row r="22" spans="1:5" ht="30" x14ac:dyDescent="0.25">
      <c r="A22" s="82"/>
      <c r="B22" s="94" t="str" cm="1">
        <f t="array" aca="1" ref="B22" ca="1">HYPERLINK(CELL("адрес",Финансы!A1),"Кредиты. Финансы")</f>
        <v>Кредиты. Финансы</v>
      </c>
      <c r="C22" s="91" t="s">
        <v>490</v>
      </c>
      <c r="D22" s="111"/>
      <c r="E22" s="76"/>
    </row>
    <row r="23" spans="1:5" x14ac:dyDescent="0.25">
      <c r="A23" s="82"/>
      <c r="B23" s="94" t="str" cm="1">
        <f t="array" aca="1" ref="B23" ca="1">HYPERLINK(CELL("адрес",Выручка!A1),"Выручка")</f>
        <v>Выручка</v>
      </c>
      <c r="C23" s="91" t="s">
        <v>463</v>
      </c>
      <c r="D23" s="111"/>
      <c r="E23" s="76"/>
    </row>
    <row r="24" spans="1:5" x14ac:dyDescent="0.25">
      <c r="A24" s="82"/>
      <c r="B24" s="94" t="str" cm="1">
        <f t="array" aca="1" ref="B24" ca="1">HYPERLINK(CELL("адрес",Себестоимость!A1),"Себестоимость")</f>
        <v>Себестоимость</v>
      </c>
      <c r="C24" s="91" t="s">
        <v>244</v>
      </c>
      <c r="D24" s="111"/>
      <c r="E24" s="76"/>
    </row>
    <row r="25" spans="1:5" x14ac:dyDescent="0.25">
      <c r="A25" s="82"/>
      <c r="B25" s="95" t="str" cm="1">
        <f t="array" aca="1" ref="B25" ca="1">HYPERLINK(CELL("адрес",Персонал!A1),"ФОТ - персонал")</f>
        <v>ФОТ - персонал</v>
      </c>
      <c r="C25" s="103" t="s">
        <v>448</v>
      </c>
      <c r="D25" s="111"/>
      <c r="E25" s="76"/>
    </row>
    <row r="26" spans="1:5" x14ac:dyDescent="0.25">
      <c r="A26" s="82"/>
      <c r="B26" s="95" t="str" cm="1">
        <f t="array" aca="1" ref="B26" ca="1">HYPERLINK(CELL("адрес",Ресурсы!A1),"Ресурсы")</f>
        <v>Ресурсы</v>
      </c>
      <c r="C26" s="103" t="s">
        <v>267</v>
      </c>
      <c r="D26" s="111"/>
      <c r="E26" s="76"/>
    </row>
    <row r="27" spans="1:5" ht="30" x14ac:dyDescent="0.25">
      <c r="A27" s="82"/>
      <c r="B27" s="94" t="str" cm="1">
        <f t="array" aca="1" ref="B27" ca="1">HYPERLINK(CELL("адрес",ОбщПрРасходы!A1),"Общепроизводственные расходы")</f>
        <v>Общепроизводственные расходы</v>
      </c>
      <c r="C27" s="91" t="s">
        <v>491</v>
      </c>
      <c r="D27" s="111"/>
      <c r="E27" s="76"/>
    </row>
    <row r="28" spans="1:5" ht="30" x14ac:dyDescent="0.25">
      <c r="A28" s="82"/>
      <c r="B28" s="94" t="str" cm="1">
        <f t="array" aca="1" ref="B28" ca="1">HYPERLINK(CELL("адрес",АдмРасходы!A1),"Административно-хозяйственные расходы")</f>
        <v>Административно-хозяйственные расходы</v>
      </c>
      <c r="C28" s="91" t="s">
        <v>492</v>
      </c>
      <c r="D28" s="111"/>
      <c r="E28" s="76"/>
    </row>
    <row r="29" spans="1:5" x14ac:dyDescent="0.25">
      <c r="A29" s="82"/>
      <c r="B29" s="94" t="str" cm="1">
        <f t="array" aca="1" ref="B29" ca="1">HYPERLINK(CELL("адрес",ПрочДоходы!$A$1),"Прочие Доходы")</f>
        <v>Прочие Доходы</v>
      </c>
      <c r="C29" s="91" t="s">
        <v>493</v>
      </c>
      <c r="D29" s="111"/>
      <c r="E29" s="76"/>
    </row>
    <row r="30" spans="1:5" x14ac:dyDescent="0.25">
      <c r="A30" s="82"/>
      <c r="B30" s="94" t="str" cm="1">
        <f t="array" aca="1" ref="B30" ca="1">HYPERLINK(CELL("адрес",ПрочРасходы!$A$1),"Прочие Расходы")</f>
        <v>Прочие Расходы</v>
      </c>
      <c r="C30" s="91" t="s">
        <v>494</v>
      </c>
      <c r="D30" s="111"/>
      <c r="E30" s="76"/>
    </row>
    <row r="31" spans="1:5" x14ac:dyDescent="0.25">
      <c r="A31" s="83"/>
      <c r="B31" s="94" t="str" cm="1">
        <f t="array" aca="1" ref="B31" ca="1">HYPERLINK(CELL("адрес",НДС!A1),"НДС")</f>
        <v>НДС</v>
      </c>
      <c r="C31" s="91" t="s">
        <v>282</v>
      </c>
      <c r="D31" s="111"/>
      <c r="E31" s="76"/>
    </row>
    <row r="32" spans="1:5" x14ac:dyDescent="0.25">
      <c r="A32" s="83"/>
      <c r="B32" s="94" t="str" cm="1">
        <f t="array" aca="1" ref="B32" ca="1">HYPERLINK(CELL("адрес",НалПрибыль!A1),"Налог на Прибыль")</f>
        <v>Налог на Прибыль</v>
      </c>
      <c r="C32" s="91" t="s">
        <v>297</v>
      </c>
      <c r="D32" s="111"/>
      <c r="E32" s="76"/>
    </row>
    <row r="33" spans="1:5" x14ac:dyDescent="0.25">
      <c r="A33" s="83"/>
      <c r="B33" s="94" t="str" cm="1">
        <f t="array" aca="1" ref="B33" ca="1">HYPERLINK(CELL("адрес",НалЗемля!A1),"Налог на землю")</f>
        <v>Налог на землю</v>
      </c>
      <c r="C33" s="91" t="s">
        <v>393</v>
      </c>
      <c r="D33" s="111"/>
      <c r="E33" s="76"/>
    </row>
    <row r="34" spans="1:5" x14ac:dyDescent="0.25">
      <c r="A34" s="83"/>
      <c r="B34" s="94" t="str" cm="1">
        <f t="array" aca="1" ref="B34" ca="1">HYPERLINK(CELL("адрес",НалИмущество!A1),"Налог на имущество")</f>
        <v>Налог на имущество</v>
      </c>
      <c r="C34" s="91" t="s">
        <v>298</v>
      </c>
      <c r="D34" s="111"/>
      <c r="E34" s="76"/>
    </row>
    <row r="35" spans="1:5" x14ac:dyDescent="0.25">
      <c r="A35" s="83"/>
      <c r="B35" s="94" t="str" cm="1">
        <f t="array" aca="1" ref="B35" ca="1">HYPERLINK(CELL("адрес",УСН!A1),"УСН")</f>
        <v>УСН</v>
      </c>
      <c r="C35" s="91" t="s">
        <v>778</v>
      </c>
      <c r="D35" s="111"/>
      <c r="E35" s="76"/>
    </row>
    <row r="36" spans="1:5" ht="30" x14ac:dyDescent="0.25">
      <c r="A36" s="84"/>
      <c r="B36" s="94" t="str" cm="1">
        <f t="array" aca="1" ref="B36" ca="1">HYPERLINK(CELL("адрес",КПЭбезЛьгот!A1),"КПЭ без Льгот")</f>
        <v>КПЭ без Льгот</v>
      </c>
      <c r="C36" s="91" t="s">
        <v>626</v>
      </c>
      <c r="D36" s="111"/>
      <c r="E36" s="76"/>
    </row>
    <row r="37" spans="1:5" ht="30" x14ac:dyDescent="0.25">
      <c r="A37" s="84"/>
      <c r="B37" s="95" t="str" cm="1">
        <f t="array" aca="1" ref="B37" ca="1">HYPERLINK(CELL("адрес",БДРбезЛьгот!A1),"БДР без Льгот")</f>
        <v>БДР без Льгот</v>
      </c>
      <c r="C37" s="91" t="s">
        <v>313</v>
      </c>
      <c r="D37" s="110"/>
      <c r="E37" s="75"/>
    </row>
    <row r="38" spans="1:5" ht="30" x14ac:dyDescent="0.25">
      <c r="A38" s="84"/>
      <c r="B38" s="95" t="str" cm="1">
        <f t="array" aca="1" ref="B38" ca="1">HYPERLINK(CELL("адрес",БДДСбезЛьгот!A1),"БДДС без Льгот")</f>
        <v>БДДС без Льгот</v>
      </c>
      <c r="C38" s="91" t="s">
        <v>389</v>
      </c>
      <c r="D38" s="110"/>
      <c r="E38" s="75"/>
    </row>
    <row r="39" spans="1:5" x14ac:dyDescent="0.25">
      <c r="A39" s="84"/>
      <c r="B39" s="95" t="str" cm="1">
        <f t="array" aca="1" ref="B39" ca="1">HYPERLINK(CELL("адрес",БалансбезЛьгот!A3),"Баланс без Льгот")</f>
        <v>Баланс без Льгот</v>
      </c>
      <c r="C39" s="91" t="s">
        <v>354</v>
      </c>
      <c r="D39" s="110"/>
      <c r="E39" s="75"/>
    </row>
    <row r="40" spans="1:5" ht="30" x14ac:dyDescent="0.25">
      <c r="A40" s="85"/>
      <c r="B40" s="96" t="s">
        <v>879</v>
      </c>
      <c r="C40" s="91" t="s">
        <v>797</v>
      </c>
      <c r="D40" s="110"/>
      <c r="E40" s="75"/>
    </row>
    <row r="41" spans="1:5" ht="30" x14ac:dyDescent="0.25">
      <c r="A41" s="85"/>
      <c r="B41" s="96" t="s">
        <v>879</v>
      </c>
      <c r="C41" s="91" t="s">
        <v>798</v>
      </c>
      <c r="D41" s="110"/>
      <c r="E41" s="75"/>
    </row>
    <row r="42" spans="1:5" ht="30" x14ac:dyDescent="0.25">
      <c r="A42" s="85"/>
      <c r="B42" s="96" t="s">
        <v>879</v>
      </c>
      <c r="C42" s="91" t="s">
        <v>799</v>
      </c>
      <c r="D42" s="110"/>
      <c r="E42" s="75"/>
    </row>
    <row r="43" spans="1:5" ht="24" x14ac:dyDescent="0.25">
      <c r="A43" s="85"/>
      <c r="B43" s="96" t="s">
        <v>879</v>
      </c>
      <c r="C43" s="91" t="s">
        <v>800</v>
      </c>
      <c r="D43" s="110"/>
      <c r="E43" s="75"/>
    </row>
    <row r="44" spans="1:5" ht="45" x14ac:dyDescent="0.25">
      <c r="A44" s="86"/>
      <c r="B44" s="94" t="str" cm="1">
        <f t="array" aca="1" ref="B44" ca="1">HYPERLINK(CELL("адрес",Контроль!A1),"Контроль")</f>
        <v>Контроль</v>
      </c>
      <c r="C44" s="91" t="s">
        <v>503</v>
      </c>
      <c r="D44" s="112"/>
      <c r="E44" s="77"/>
    </row>
    <row r="47" spans="1:5" x14ac:dyDescent="0.25">
      <c r="A47" s="87"/>
      <c r="B47" s="93"/>
      <c r="C47" s="91"/>
      <c r="D47" s="110"/>
      <c r="E47" s="75"/>
    </row>
    <row r="48" spans="1:5" x14ac:dyDescent="0.25">
      <c r="A48" s="88"/>
      <c r="B48" s="97"/>
      <c r="C48" s="104"/>
      <c r="D48" s="110"/>
      <c r="E48" s="75"/>
    </row>
    <row r="49" spans="1:5" x14ac:dyDescent="0.25">
      <c r="A49" s="89" t="s">
        <v>801</v>
      </c>
      <c r="B49" s="98"/>
      <c r="C49" s="105"/>
      <c r="D49" s="110"/>
      <c r="E49" s="75"/>
    </row>
    <row r="50" spans="1:5" ht="30" x14ac:dyDescent="0.25">
      <c r="A50" s="90"/>
      <c r="B50" s="95" t="str" cm="1">
        <f t="array" aca="1" ref="B50" ca="1">HYPERLINK(CELL("адрес",Описание!A1),"Описание")</f>
        <v>Описание</v>
      </c>
      <c r="C50" s="91" t="s">
        <v>496</v>
      </c>
      <c r="D50" s="110"/>
      <c r="E50" s="75"/>
    </row>
    <row r="51" spans="1:5" ht="30" x14ac:dyDescent="0.25">
      <c r="A51" s="90"/>
      <c r="B51" s="95" t="str" cm="1">
        <f t="array" aca="1" ref="B51" ca="1">HYPERLINK(CELL("адрес",Структура!A1),"Структура")</f>
        <v>Структура</v>
      </c>
      <c r="C51" s="91" t="s">
        <v>497</v>
      </c>
      <c r="D51" s="110"/>
      <c r="E51" s="75"/>
    </row>
    <row r="52" spans="1:5" ht="30" x14ac:dyDescent="0.25">
      <c r="A52" s="90"/>
      <c r="B52" s="94" t="str" cm="1">
        <f t="array" aca="1" ref="B52" ca="1">HYPERLINK(CELL("адрес",Шаблон!A1),"Шаблон листа")</f>
        <v>Шаблон листа</v>
      </c>
      <c r="C52" s="91" t="s">
        <v>13</v>
      </c>
      <c r="D52" s="110"/>
      <c r="E52" s="75"/>
    </row>
    <row r="53" spans="1:5" x14ac:dyDescent="0.25">
      <c r="A53" s="90"/>
      <c r="B53" s="94" t="str" cm="1">
        <f t="array" aca="1" ref="B53" ca="1">HYPERLINK(CELL("адрес",Дашборд_2!A4),"Дашборд №2 (без льгот)")</f>
        <v>Дашборд №2 (без льгот)</v>
      </c>
      <c r="C53" s="91" t="s">
        <v>498</v>
      </c>
      <c r="D53" s="111"/>
      <c r="E53" s="76"/>
    </row>
    <row r="54" spans="1:5" ht="30" x14ac:dyDescent="0.25">
      <c r="A54" s="90"/>
      <c r="B54" s="94" t="str" cm="1">
        <f t="array" aca="1" ref="B54" ca="1">HYPERLINK(CELL("адрес",Легенда!A1),"Легенда")</f>
        <v>Легенда</v>
      </c>
      <c r="C54" s="91" t="s">
        <v>26</v>
      </c>
      <c r="D54" s="111"/>
      <c r="E54" s="76"/>
    </row>
    <row r="55" spans="1:5" ht="45" x14ac:dyDescent="0.25">
      <c r="A55" s="87"/>
      <c r="B55" s="93" t="s">
        <v>21</v>
      </c>
      <c r="C55" s="91" t="s">
        <v>22</v>
      </c>
      <c r="D55" s="110"/>
      <c r="E55" s="75"/>
    </row>
    <row r="56" spans="1:5" x14ac:dyDescent="0.25">
      <c r="A56" s="87"/>
      <c r="B56" s="94"/>
      <c r="C56" s="91"/>
      <c r="D56" s="110"/>
      <c r="E56" s="75"/>
    </row>
    <row r="57" spans="1:5" x14ac:dyDescent="0.25">
      <c r="A57" s="88"/>
      <c r="B57" s="97"/>
      <c r="C57" s="104"/>
      <c r="D57" s="110"/>
      <c r="E57" s="75"/>
    </row>
  </sheetData>
  <hyperlinks>
    <hyperlink ref="B54" location="Легенда!A1" display="Легенда" xr:uid="{4F4F5D49-6D3C-493B-8104-094C4E671C46}"/>
    <hyperlink ref="B52" location="Шаблон!A1" display="Шаблон листа" xr:uid="{52BDFD90-404E-4B1B-AA21-277297E7627B}"/>
    <hyperlink ref="B44" location="Контроль!A1" display="Контроль" xr:uid="{FE1D7A1C-441C-4E1B-8F3E-1FAC93D99C91}"/>
    <hyperlink ref="B17" location="Баланс!A1" display="Баланс" xr:uid="{271ABCC7-4216-4594-A741-29DA580050BF}"/>
    <hyperlink ref="B16" location="БДДС!A1" display="БДДС" xr:uid="{8A9848C6-2BEB-4F7B-8A8D-6BB4E2F14D95}"/>
    <hyperlink ref="B15" location="БДР!A1" display="БДР" xr:uid="{6E1A50D5-1946-4BAF-B63A-7BF166E7C3C6}"/>
    <hyperlink ref="B5" location="Оглавление!A1" display="Оглавление" xr:uid="{2514F2B2-6AB7-47A5-9740-9D7076858A6D}"/>
    <hyperlink ref="C2" location="Контроль!A1" display="Контроль!A1" xr:uid="{C2D71B9A-9920-45B8-B889-A437B6CA261E}"/>
  </hyperlinks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>
    <oddFooter>&amp;C&amp;9Страница  &amp;P из &amp;N&amp;R&amp;G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E330-4700-4925-B712-4A7B3C09A030}">
  <sheetPr>
    <tabColor rgb="FF00B050"/>
    <pageSetUpPr fitToPage="1"/>
  </sheetPr>
  <dimension ref="A1:G37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0" defaultRowHeight="15" customHeight="1" zeroHeight="1" x14ac:dyDescent="0.25"/>
  <cols>
    <col min="1" max="1" width="8.85546875" customWidth="1"/>
    <col min="2" max="2" width="83.140625" customWidth="1"/>
    <col min="3" max="4" width="28.5703125" customWidth="1"/>
    <col min="5" max="5" width="9.42578125" customWidth="1"/>
    <col min="6" max="7" width="0" hidden="1" customWidth="1"/>
    <col min="8" max="16384" width="8.85546875" hidden="1"/>
  </cols>
  <sheetData>
    <row r="1" spans="1:5" x14ac:dyDescent="0.25">
      <c r="A1" s="71"/>
      <c r="B1" s="71"/>
      <c r="C1" s="71"/>
      <c r="D1" s="71"/>
      <c r="E1" s="71"/>
    </row>
    <row r="2" spans="1:5" x14ac:dyDescent="0.25">
      <c r="A2" s="71"/>
      <c r="B2" s="71"/>
      <c r="C2" s="71"/>
      <c r="D2" s="71"/>
      <c r="E2" s="71"/>
    </row>
    <row r="3" spans="1:5" ht="18.75" x14ac:dyDescent="0.25">
      <c r="A3" s="71"/>
      <c r="B3" s="71"/>
      <c r="C3" s="73"/>
      <c r="D3" s="71"/>
      <c r="E3" s="71"/>
    </row>
    <row r="4" spans="1:5" ht="6.6" customHeight="1" x14ac:dyDescent="0.25">
      <c r="A4" s="72"/>
      <c r="B4" s="72"/>
      <c r="C4" s="74"/>
      <c r="D4" s="72"/>
      <c r="E4" s="72"/>
    </row>
    <row r="5" spans="1:5" s="748" customFormat="1" ht="77.45" customHeight="1" x14ac:dyDescent="0.3">
      <c r="A5" s="760"/>
      <c r="B5" s="828" t="s">
        <v>1070</v>
      </c>
      <c r="C5" s="829"/>
      <c r="D5" s="766" t="s">
        <v>1031</v>
      </c>
    </row>
    <row r="6" spans="1:5" s="748" customFormat="1" ht="37.5" x14ac:dyDescent="0.3">
      <c r="A6" s="760"/>
      <c r="B6" s="764" t="s">
        <v>1032</v>
      </c>
      <c r="C6" s="759"/>
      <c r="D6" s="762"/>
    </row>
    <row r="7" spans="1:5" s="748" customFormat="1" ht="56.25" x14ac:dyDescent="0.3">
      <c r="A7" s="760"/>
      <c r="B7" s="752" t="s">
        <v>1033</v>
      </c>
      <c r="C7" s="759"/>
      <c r="D7" s="763" t="b">
        <v>1</v>
      </c>
    </row>
    <row r="8" spans="1:5" s="748" customFormat="1" ht="29.1" customHeight="1" x14ac:dyDescent="0.3">
      <c r="A8" s="760"/>
      <c r="B8" s="752" t="s">
        <v>1034</v>
      </c>
      <c r="C8" s="759"/>
      <c r="D8" s="763" t="b">
        <v>1</v>
      </c>
    </row>
    <row r="9" spans="1:5" s="748" customFormat="1" ht="75" x14ac:dyDescent="0.3">
      <c r="A9" s="760"/>
      <c r="B9" s="752" t="s">
        <v>1035</v>
      </c>
      <c r="C9" s="759"/>
      <c r="D9" s="763" t="b">
        <v>1</v>
      </c>
    </row>
    <row r="10" spans="1:5" s="748" customFormat="1" ht="42.6" customHeight="1" x14ac:dyDescent="0.3">
      <c r="A10" s="760"/>
      <c r="B10" s="752" t="s">
        <v>1036</v>
      </c>
      <c r="C10" s="759"/>
      <c r="D10" s="763" t="b">
        <v>1</v>
      </c>
    </row>
    <row r="11" spans="1:5" s="748" customFormat="1" ht="112.5" x14ac:dyDescent="0.3">
      <c r="A11" s="760"/>
      <c r="B11" s="752" t="s">
        <v>1037</v>
      </c>
      <c r="C11" s="759"/>
      <c r="D11" s="763" t="b">
        <v>1</v>
      </c>
    </row>
    <row r="12" spans="1:5" s="748" customFormat="1" ht="75" x14ac:dyDescent="0.3">
      <c r="A12" s="760"/>
      <c r="B12" s="752" t="s">
        <v>1038</v>
      </c>
      <c r="C12" s="759"/>
      <c r="D12" s="763" t="b">
        <v>1</v>
      </c>
    </row>
    <row r="13" spans="1:5" s="748" customFormat="1" ht="75" x14ac:dyDescent="0.3">
      <c r="A13" s="760"/>
      <c r="B13" s="752" t="s">
        <v>1039</v>
      </c>
      <c r="C13" s="759"/>
      <c r="D13" s="763" t="b">
        <v>1</v>
      </c>
    </row>
    <row r="14" spans="1:5" s="748" customFormat="1" ht="112.5" x14ac:dyDescent="0.3">
      <c r="A14" s="760"/>
      <c r="B14" s="752" t="s">
        <v>1040</v>
      </c>
      <c r="C14" s="759"/>
      <c r="D14" s="763" t="b">
        <v>1</v>
      </c>
    </row>
    <row r="15" spans="1:5" s="748" customFormat="1" ht="18.75" x14ac:dyDescent="0.3">
      <c r="A15" s="760"/>
      <c r="B15" s="752"/>
      <c r="C15" s="759"/>
      <c r="D15" s="763"/>
    </row>
    <row r="16" spans="1:5" s="748" customFormat="1" ht="56.25" x14ac:dyDescent="0.3">
      <c r="A16" s="760"/>
      <c r="B16" s="764" t="s">
        <v>1041</v>
      </c>
      <c r="C16" s="759"/>
      <c r="D16" s="763"/>
    </row>
    <row r="17" spans="1:4" s="748" customFormat="1" ht="28.15" customHeight="1" x14ac:dyDescent="0.3">
      <c r="A17" s="760"/>
      <c r="B17" s="752" t="s">
        <v>1042</v>
      </c>
      <c r="C17" s="759"/>
      <c r="D17" s="763" t="b">
        <v>1</v>
      </c>
    </row>
    <row r="18" spans="1:4" s="748" customFormat="1" ht="28.15" customHeight="1" x14ac:dyDescent="0.3">
      <c r="A18" s="760"/>
      <c r="B18" s="752" t="s">
        <v>1043</v>
      </c>
      <c r="C18" s="759"/>
      <c r="D18" s="763" t="b">
        <v>1</v>
      </c>
    </row>
    <row r="19" spans="1:4" s="748" customFormat="1" ht="28.15" customHeight="1" x14ac:dyDescent="0.3">
      <c r="A19" s="760"/>
      <c r="B19" s="752" t="s">
        <v>1044</v>
      </c>
      <c r="C19" s="759"/>
      <c r="D19" s="763" t="b">
        <v>1</v>
      </c>
    </row>
    <row r="20" spans="1:4" s="748" customFormat="1" ht="18.75" x14ac:dyDescent="0.3">
      <c r="A20" s="760"/>
      <c r="B20" s="752"/>
      <c r="C20" s="759"/>
      <c r="D20" s="763"/>
    </row>
    <row r="21" spans="1:4" s="748" customFormat="1" ht="23.1" customHeight="1" x14ac:dyDescent="0.3">
      <c r="A21" s="760"/>
      <c r="B21" s="764" t="s">
        <v>1045</v>
      </c>
      <c r="C21" s="765">
        <f>COUNTIF(D7:D19,TRUE)</f>
        <v>11</v>
      </c>
      <c r="D21" s="763"/>
    </row>
    <row r="22" spans="1:4" s="748" customFormat="1" ht="23.1" customHeight="1" x14ac:dyDescent="0.3">
      <c r="A22" s="760"/>
      <c r="B22" s="764" t="s">
        <v>1046</v>
      </c>
      <c r="C22" s="765">
        <f>COUNTA(D7:D19)</f>
        <v>11</v>
      </c>
      <c r="D22" s="762"/>
    </row>
    <row r="23" spans="1:4" s="748" customFormat="1" ht="18.75" x14ac:dyDescent="0.3">
      <c r="A23" s="760"/>
      <c r="B23" s="761"/>
      <c r="C23" s="762"/>
      <c r="D23" s="762"/>
    </row>
    <row r="24" spans="1:4" s="748" customFormat="1" ht="83.65" customHeight="1" x14ac:dyDescent="0.3">
      <c r="A24" s="760"/>
      <c r="B24" s="828" t="s">
        <v>1071</v>
      </c>
      <c r="C24" s="829"/>
      <c r="D24" s="766" t="s">
        <v>1030</v>
      </c>
    </row>
    <row r="25" spans="1:4" s="748" customFormat="1" ht="20.25" customHeight="1" x14ac:dyDescent="0.3">
      <c r="A25" s="760"/>
      <c r="B25" s="781" t="s">
        <v>1073</v>
      </c>
      <c r="C25" s="782"/>
      <c r="D25" s="766"/>
    </row>
    <row r="26" spans="1:4" s="748" customFormat="1" ht="22.5" customHeight="1" x14ac:dyDescent="0.3">
      <c r="A26" s="760"/>
      <c r="B26" s="772" t="s">
        <v>523</v>
      </c>
      <c r="C26" s="772" t="s">
        <v>1047</v>
      </c>
      <c r="D26" s="766"/>
    </row>
    <row r="27" spans="1:4" s="748" customFormat="1" ht="37.5" x14ac:dyDescent="0.3">
      <c r="A27" s="760"/>
      <c r="B27" s="764" t="s">
        <v>1074</v>
      </c>
      <c r="C27" s="774"/>
      <c r="D27" s="766"/>
    </row>
    <row r="28" spans="1:4" s="748" customFormat="1" ht="75" x14ac:dyDescent="0.3">
      <c r="A28" s="760"/>
      <c r="B28" s="767" t="s">
        <v>1054</v>
      </c>
      <c r="C28" s="774">
        <v>10</v>
      </c>
      <c r="D28" s="766"/>
    </row>
    <row r="29" spans="1:4" s="748" customFormat="1" ht="56.25" x14ac:dyDescent="0.3">
      <c r="A29" s="760"/>
      <c r="B29" s="767" t="s">
        <v>1055</v>
      </c>
      <c r="C29" s="774"/>
      <c r="D29" s="766"/>
    </row>
    <row r="30" spans="1:4" s="748" customFormat="1" ht="18.75" x14ac:dyDescent="0.3">
      <c r="A30" s="760"/>
      <c r="B30" s="767" t="s">
        <v>1048</v>
      </c>
      <c r="C30" s="758"/>
      <c r="D30" s="766"/>
    </row>
    <row r="31" spans="1:4" s="748" customFormat="1" ht="37.5" x14ac:dyDescent="0.3">
      <c r="A31" s="760"/>
      <c r="B31" s="764" t="s">
        <v>1075</v>
      </c>
      <c r="C31" s="758"/>
      <c r="D31" s="766"/>
    </row>
    <row r="32" spans="1:4" s="748" customFormat="1" ht="112.5" x14ac:dyDescent="0.3">
      <c r="A32" s="760"/>
      <c r="B32" s="767" t="s">
        <v>1056</v>
      </c>
      <c r="C32" s="758">
        <v>3</v>
      </c>
      <c r="D32" s="766"/>
    </row>
    <row r="33" spans="1:4" s="748" customFormat="1" ht="102" customHeight="1" x14ac:dyDescent="0.3">
      <c r="A33" s="760"/>
      <c r="B33" s="767" t="s">
        <v>1057</v>
      </c>
      <c r="C33" s="758"/>
      <c r="D33" s="762"/>
    </row>
    <row r="34" spans="1:4" s="748" customFormat="1" ht="18.75" x14ac:dyDescent="0.3">
      <c r="A34" s="760"/>
      <c r="B34" s="767" t="s">
        <v>1048</v>
      </c>
      <c r="C34" s="758"/>
      <c r="D34" s="762"/>
    </row>
    <row r="35" spans="1:4" s="748" customFormat="1" ht="37.5" x14ac:dyDescent="0.3">
      <c r="A35" s="760"/>
      <c r="B35" s="764" t="s">
        <v>1076</v>
      </c>
      <c r="C35" s="758"/>
      <c r="D35" s="762"/>
    </row>
    <row r="36" spans="1:4" s="748" customFormat="1" ht="75" x14ac:dyDescent="0.3">
      <c r="A36" s="760"/>
      <c r="B36" s="767" t="s">
        <v>1059</v>
      </c>
      <c r="C36" s="758"/>
      <c r="D36" s="762"/>
    </row>
    <row r="37" spans="1:4" s="748" customFormat="1" ht="18.75" x14ac:dyDescent="0.3">
      <c r="A37" s="760"/>
      <c r="B37" s="767" t="s">
        <v>1049</v>
      </c>
      <c r="C37" s="758">
        <v>0</v>
      </c>
      <c r="D37" s="762"/>
    </row>
    <row r="38" spans="1:4" s="748" customFormat="1" ht="37.5" x14ac:dyDescent="0.3">
      <c r="A38" s="760"/>
      <c r="B38" s="764" t="s">
        <v>1077</v>
      </c>
      <c r="C38" s="758"/>
      <c r="D38" s="762"/>
    </row>
    <row r="39" spans="1:4" s="748" customFormat="1" ht="56.25" x14ac:dyDescent="0.3">
      <c r="A39" s="760"/>
      <c r="B39" s="767" t="s">
        <v>1058</v>
      </c>
      <c r="C39" s="758">
        <v>3</v>
      </c>
      <c r="D39" s="762"/>
    </row>
    <row r="40" spans="1:4" s="748" customFormat="1" ht="61.5" customHeight="1" x14ac:dyDescent="0.3">
      <c r="A40" s="760"/>
      <c r="B40" s="767" t="s">
        <v>1060</v>
      </c>
      <c r="C40" s="758"/>
      <c r="D40" s="762"/>
    </row>
    <row r="41" spans="1:4" s="748" customFormat="1" ht="18.75" x14ac:dyDescent="0.3">
      <c r="A41" s="760"/>
      <c r="B41" s="767" t="s">
        <v>1048</v>
      </c>
      <c r="C41" s="758"/>
      <c r="D41" s="762"/>
    </row>
    <row r="42" spans="1:4" s="748" customFormat="1" ht="37.5" x14ac:dyDescent="0.3">
      <c r="A42" s="760"/>
      <c r="B42" s="764" t="s">
        <v>1078</v>
      </c>
      <c r="C42" s="758"/>
      <c r="D42" s="762"/>
    </row>
    <row r="43" spans="1:4" s="748" customFormat="1" ht="56.25" x14ac:dyDescent="0.3">
      <c r="A43" s="760"/>
      <c r="B43" s="767" t="s">
        <v>1061</v>
      </c>
      <c r="C43" s="758">
        <v>3</v>
      </c>
      <c r="D43" s="762"/>
    </row>
    <row r="44" spans="1:4" s="748" customFormat="1" ht="168.75" x14ac:dyDescent="0.3">
      <c r="A44" s="760"/>
      <c r="B44" s="767" t="s">
        <v>1062</v>
      </c>
      <c r="C44" s="758"/>
      <c r="D44" s="762"/>
    </row>
    <row r="45" spans="1:4" s="748" customFormat="1" ht="18.75" x14ac:dyDescent="0.3">
      <c r="A45" s="760"/>
      <c r="B45" s="767" t="s">
        <v>1050</v>
      </c>
      <c r="C45" s="758"/>
      <c r="D45" s="762"/>
    </row>
    <row r="46" spans="1:4" s="748" customFormat="1" ht="37.5" x14ac:dyDescent="0.3">
      <c r="A46" s="760"/>
      <c r="B46" s="764" t="s">
        <v>1079</v>
      </c>
      <c r="C46" s="758"/>
      <c r="D46" s="762"/>
    </row>
    <row r="47" spans="1:4" s="748" customFormat="1" ht="56.25" x14ac:dyDescent="0.3">
      <c r="A47" s="760"/>
      <c r="B47" s="767" t="s">
        <v>1051</v>
      </c>
      <c r="C47" s="758"/>
      <c r="D47" s="762"/>
    </row>
    <row r="48" spans="1:4" s="748" customFormat="1" ht="18.75" x14ac:dyDescent="0.3">
      <c r="A48" s="760"/>
      <c r="B48" s="767" t="s">
        <v>1049</v>
      </c>
      <c r="C48" s="758"/>
      <c r="D48" s="762"/>
    </row>
    <row r="49" spans="1:4" s="748" customFormat="1" ht="37.5" x14ac:dyDescent="0.3">
      <c r="A49" s="760"/>
      <c r="B49" s="764" t="s">
        <v>1082</v>
      </c>
      <c r="C49" s="758"/>
      <c r="D49" s="762"/>
    </row>
    <row r="50" spans="1:4" s="748" customFormat="1" ht="93.75" x14ac:dyDescent="0.3">
      <c r="A50" s="760"/>
      <c r="B50" s="767" t="s">
        <v>1063</v>
      </c>
      <c r="C50" s="758">
        <v>1</v>
      </c>
      <c r="D50" s="762"/>
    </row>
    <row r="51" spans="1:4" s="748" customFormat="1" ht="37.5" x14ac:dyDescent="0.3">
      <c r="A51" s="760"/>
      <c r="B51" s="764" t="s">
        <v>1080</v>
      </c>
      <c r="C51" s="758"/>
      <c r="D51" s="762"/>
    </row>
    <row r="52" spans="1:4" s="748" customFormat="1" ht="75" x14ac:dyDescent="0.3">
      <c r="A52" s="760"/>
      <c r="B52" s="767" t="s">
        <v>1064</v>
      </c>
      <c r="C52" s="758"/>
      <c r="D52" s="762"/>
    </row>
    <row r="53" spans="1:4" s="748" customFormat="1" ht="93.75" x14ac:dyDescent="0.3">
      <c r="A53" s="760"/>
      <c r="B53" s="767" t="s">
        <v>1065</v>
      </c>
      <c r="C53" s="758">
        <v>2</v>
      </c>
      <c r="D53" s="762"/>
    </row>
    <row r="54" spans="1:4" s="748" customFormat="1" ht="246" customHeight="1" x14ac:dyDescent="0.3">
      <c r="A54" s="760"/>
      <c r="B54" s="767" t="s">
        <v>1081</v>
      </c>
      <c r="C54" s="758"/>
      <c r="D54" s="762"/>
    </row>
    <row r="55" spans="1:4" s="780" customFormat="1" ht="18.75" x14ac:dyDescent="0.3">
      <c r="A55" s="778"/>
      <c r="B55" s="777" t="s">
        <v>388</v>
      </c>
      <c r="C55" s="776">
        <f>SUM(C27:C54)</f>
        <v>22</v>
      </c>
      <c r="D55" s="779"/>
    </row>
    <row r="56" spans="1:4" s="748" customFormat="1" ht="39" x14ac:dyDescent="0.3">
      <c r="A56" s="760"/>
      <c r="B56" s="783" t="s">
        <v>1072</v>
      </c>
      <c r="C56" s="784">
        <v>18</v>
      </c>
      <c r="D56" s="762"/>
    </row>
    <row r="57" spans="1:4" s="748" customFormat="1" ht="21" x14ac:dyDescent="0.3">
      <c r="A57" s="760"/>
      <c r="B57" s="781" t="s">
        <v>1083</v>
      </c>
      <c r="C57" s="782"/>
      <c r="D57" s="762"/>
    </row>
    <row r="58" spans="1:4" s="748" customFormat="1" ht="56.25" x14ac:dyDescent="0.3">
      <c r="A58" s="760"/>
      <c r="B58" s="764" t="s">
        <v>1084</v>
      </c>
      <c r="C58" s="758"/>
      <c r="D58" s="762"/>
    </row>
    <row r="59" spans="1:4" s="748" customFormat="1" ht="119.25" customHeight="1" x14ac:dyDescent="0.3">
      <c r="A59" s="760"/>
      <c r="B59" s="767" t="s">
        <v>1066</v>
      </c>
      <c r="C59" s="758">
        <v>3</v>
      </c>
      <c r="D59" s="762"/>
    </row>
    <row r="60" spans="1:4" s="748" customFormat="1" ht="23.25" customHeight="1" x14ac:dyDescent="0.3">
      <c r="A60" s="760"/>
      <c r="B60" s="767" t="s">
        <v>1052</v>
      </c>
      <c r="C60" s="758"/>
      <c r="D60" s="762"/>
    </row>
    <row r="61" spans="1:4" s="748" customFormat="1" ht="56.25" x14ac:dyDescent="0.3">
      <c r="A61" s="760"/>
      <c r="B61" s="764" t="s">
        <v>1085</v>
      </c>
      <c r="C61" s="758"/>
      <c r="D61" s="762"/>
    </row>
    <row r="62" spans="1:4" s="748" customFormat="1" ht="112.5" x14ac:dyDescent="0.3">
      <c r="A62" s="760"/>
      <c r="B62" s="767" t="s">
        <v>1086</v>
      </c>
      <c r="C62" s="758">
        <v>3</v>
      </c>
      <c r="D62" s="762"/>
    </row>
    <row r="63" spans="1:4" s="748" customFormat="1" ht="18.75" x14ac:dyDescent="0.3">
      <c r="A63" s="760"/>
      <c r="B63" s="767" t="s">
        <v>1052</v>
      </c>
      <c r="C63" s="758"/>
      <c r="D63" s="762"/>
    </row>
    <row r="64" spans="1:4" s="748" customFormat="1" ht="56.25" x14ac:dyDescent="0.3">
      <c r="A64" s="760"/>
      <c r="B64" s="764" t="s">
        <v>1087</v>
      </c>
      <c r="C64" s="758"/>
      <c r="D64" s="762"/>
    </row>
    <row r="65" spans="1:4" s="748" customFormat="1" ht="56.25" x14ac:dyDescent="0.3">
      <c r="A65" s="760"/>
      <c r="B65" s="767" t="s">
        <v>1088</v>
      </c>
      <c r="C65" s="758">
        <v>3</v>
      </c>
      <c r="D65" s="762"/>
    </row>
    <row r="66" spans="1:4" s="748" customFormat="1" ht="18.75" x14ac:dyDescent="0.3">
      <c r="A66" s="760"/>
      <c r="B66" s="767" t="s">
        <v>1052</v>
      </c>
      <c r="C66" s="758"/>
      <c r="D66" s="762"/>
    </row>
    <row r="67" spans="1:4" s="775" customFormat="1" ht="18.75" x14ac:dyDescent="0.3">
      <c r="A67" s="73"/>
      <c r="B67" s="777" t="s">
        <v>388</v>
      </c>
      <c r="C67" s="776">
        <f>SUM(C59:C66)</f>
        <v>9</v>
      </c>
      <c r="D67" s="762"/>
    </row>
    <row r="68" spans="1:4" s="748" customFormat="1" ht="39" x14ac:dyDescent="0.3">
      <c r="A68" s="760"/>
      <c r="B68" s="783" t="s">
        <v>1072</v>
      </c>
      <c r="C68" s="784">
        <v>9</v>
      </c>
      <c r="D68" s="762"/>
    </row>
    <row r="69" spans="1:4" s="748" customFormat="1" ht="78.75" x14ac:dyDescent="0.3">
      <c r="A69" s="760"/>
      <c r="B69" s="785" t="s">
        <v>1053</v>
      </c>
      <c r="C69" s="758"/>
      <c r="D69" s="762"/>
    </row>
    <row r="70" spans="1:4" s="748" customFormat="1" ht="18.75" x14ac:dyDescent="0.3">
      <c r="A70" s="760"/>
      <c r="B70" s="761"/>
      <c r="C70" s="762"/>
      <c r="D70" s="762"/>
    </row>
    <row r="71" spans="1:4" s="748" customFormat="1" ht="18.75" x14ac:dyDescent="0.3">
      <c r="A71" s="760"/>
      <c r="B71" s="761"/>
      <c r="C71" s="762"/>
      <c r="D71" s="762"/>
    </row>
    <row r="72" spans="1:4" s="748" customFormat="1" ht="18.75" x14ac:dyDescent="0.3">
      <c r="A72" s="760"/>
      <c r="B72" s="761"/>
      <c r="C72" s="762"/>
      <c r="D72" s="762"/>
    </row>
    <row r="73" spans="1:4" s="748" customFormat="1" ht="18.75" x14ac:dyDescent="0.3">
      <c r="A73" s="760"/>
      <c r="B73" s="761"/>
      <c r="C73" s="762"/>
      <c r="D73" s="762"/>
    </row>
    <row r="74" spans="1:4" s="748" customFormat="1" ht="18.75" x14ac:dyDescent="0.3">
      <c r="A74" s="760"/>
      <c r="B74" s="761"/>
      <c r="C74" s="762"/>
      <c r="D74" s="762"/>
    </row>
    <row r="75" spans="1:4" s="748" customFormat="1" ht="18.75" x14ac:dyDescent="0.3">
      <c r="A75" s="760"/>
      <c r="B75" s="761"/>
      <c r="C75" s="762"/>
      <c r="D75" s="762"/>
    </row>
    <row r="76" spans="1:4" s="748" customFormat="1" ht="18.75" x14ac:dyDescent="0.3">
      <c r="A76" s="760"/>
      <c r="B76" s="761"/>
      <c r="C76" s="762"/>
      <c r="D76" s="762"/>
    </row>
    <row r="77" spans="1:4" s="748" customFormat="1" ht="18.75" x14ac:dyDescent="0.3">
      <c r="A77" s="760"/>
      <c r="B77" s="761"/>
      <c r="C77" s="762"/>
      <c r="D77" s="762"/>
    </row>
    <row r="78" spans="1:4" s="748" customFormat="1" ht="18.75" x14ac:dyDescent="0.3">
      <c r="A78" s="760"/>
      <c r="B78" s="761"/>
      <c r="C78" s="762"/>
      <c r="D78" s="762"/>
    </row>
    <row r="79" spans="1:4" s="748" customFormat="1" ht="18.75" x14ac:dyDescent="0.3">
      <c r="A79" s="760"/>
      <c r="B79" s="761"/>
      <c r="C79" s="762"/>
      <c r="D79" s="762"/>
    </row>
    <row r="80" spans="1:4" s="748" customFormat="1" ht="18.75" x14ac:dyDescent="0.3">
      <c r="A80" s="760"/>
      <c r="B80" s="761"/>
      <c r="C80" s="762"/>
      <c r="D80" s="762"/>
    </row>
    <row r="81" spans="1:4" s="748" customFormat="1" ht="18.75" x14ac:dyDescent="0.3">
      <c r="A81" s="760"/>
      <c r="B81" s="761"/>
      <c r="C81" s="762"/>
      <c r="D81" s="762"/>
    </row>
    <row r="82" spans="1:4" s="748" customFormat="1" ht="18.75" x14ac:dyDescent="0.3">
      <c r="A82" s="760"/>
      <c r="B82" s="761"/>
      <c r="C82" s="762"/>
      <c r="D82" s="762"/>
    </row>
    <row r="83" spans="1:4" s="748" customFormat="1" ht="18.75" x14ac:dyDescent="0.3">
      <c r="A83" s="760"/>
      <c r="B83" s="761"/>
      <c r="C83" s="762"/>
      <c r="D83" s="762"/>
    </row>
    <row r="84" spans="1:4" s="748" customFormat="1" ht="18.75" x14ac:dyDescent="0.3">
      <c r="A84" s="760"/>
      <c r="B84" s="761"/>
      <c r="C84" s="762"/>
      <c r="D84" s="762"/>
    </row>
    <row r="85" spans="1:4" s="748" customFormat="1" ht="18.75" x14ac:dyDescent="0.3">
      <c r="A85" s="760"/>
      <c r="B85" s="761"/>
      <c r="C85" s="762"/>
      <c r="D85" s="762"/>
    </row>
    <row r="86" spans="1:4" s="748" customFormat="1" ht="18.75" x14ac:dyDescent="0.3">
      <c r="A86" s="760"/>
      <c r="B86" s="761"/>
      <c r="C86" s="762"/>
      <c r="D86" s="762"/>
    </row>
    <row r="87" spans="1:4" s="748" customFormat="1" ht="18.75" x14ac:dyDescent="0.3">
      <c r="A87" s="760"/>
      <c r="B87" s="761"/>
      <c r="C87" s="762"/>
      <c r="D87" s="762"/>
    </row>
    <row r="88" spans="1:4" s="748" customFormat="1" ht="18.75" x14ac:dyDescent="0.3">
      <c r="A88" s="760"/>
      <c r="B88" s="761"/>
      <c r="C88" s="762"/>
      <c r="D88" s="762"/>
    </row>
    <row r="89" spans="1:4" s="748" customFormat="1" ht="18.75" x14ac:dyDescent="0.3">
      <c r="A89" s="760"/>
      <c r="B89" s="761"/>
      <c r="C89" s="762"/>
      <c r="D89" s="762"/>
    </row>
    <row r="90" spans="1:4" s="748" customFormat="1" ht="18.75" x14ac:dyDescent="0.3">
      <c r="A90" s="760"/>
      <c r="B90" s="761"/>
      <c r="C90" s="762"/>
      <c r="D90" s="762"/>
    </row>
    <row r="91" spans="1:4" s="748" customFormat="1" ht="18.75" x14ac:dyDescent="0.3">
      <c r="A91" s="760"/>
      <c r="B91" s="761"/>
      <c r="C91" s="762"/>
      <c r="D91" s="762"/>
    </row>
    <row r="92" spans="1:4" s="748" customFormat="1" ht="18.75" x14ac:dyDescent="0.3">
      <c r="A92" s="760"/>
      <c r="B92" s="761"/>
      <c r="C92" s="762"/>
      <c r="D92" s="762"/>
    </row>
    <row r="93" spans="1:4" s="748" customFormat="1" ht="18.75" x14ac:dyDescent="0.3">
      <c r="A93" s="760"/>
      <c r="B93" s="761"/>
      <c r="C93" s="762"/>
      <c r="D93" s="762"/>
    </row>
    <row r="94" spans="1:4" s="748" customFormat="1" ht="18.75" x14ac:dyDescent="0.3">
      <c r="A94" s="760"/>
      <c r="B94" s="761"/>
      <c r="C94" s="762"/>
      <c r="D94" s="762"/>
    </row>
    <row r="95" spans="1:4" s="748" customFormat="1" ht="18.75" x14ac:dyDescent="0.3">
      <c r="A95" s="760"/>
      <c r="B95" s="761"/>
      <c r="C95" s="762"/>
      <c r="D95" s="762"/>
    </row>
    <row r="96" spans="1:4" s="748" customFormat="1" ht="18.75" x14ac:dyDescent="0.3">
      <c r="A96" s="760"/>
      <c r="B96" s="761"/>
      <c r="C96" s="762"/>
      <c r="D96" s="762"/>
    </row>
    <row r="97" spans="1:4" s="748" customFormat="1" ht="18.75" x14ac:dyDescent="0.3">
      <c r="A97" s="760"/>
      <c r="B97" s="761"/>
      <c r="C97" s="762"/>
      <c r="D97" s="762"/>
    </row>
    <row r="98" spans="1:4" s="748" customFormat="1" ht="18.75" x14ac:dyDescent="0.3">
      <c r="A98" s="760"/>
      <c r="B98" s="761"/>
      <c r="C98" s="762"/>
      <c r="D98" s="762"/>
    </row>
    <row r="99" spans="1:4" s="748" customFormat="1" ht="18.75" x14ac:dyDescent="0.3">
      <c r="A99" s="760"/>
      <c r="B99" s="761"/>
      <c r="C99" s="762"/>
      <c r="D99" s="762"/>
    </row>
    <row r="100" spans="1:4" s="748" customFormat="1" ht="18.75" x14ac:dyDescent="0.3">
      <c r="A100" s="760"/>
      <c r="B100" s="761"/>
      <c r="C100" s="762"/>
      <c r="D100" s="762"/>
    </row>
    <row r="101" spans="1:4" s="748" customFormat="1" ht="18.75" x14ac:dyDescent="0.3">
      <c r="A101" s="760"/>
      <c r="B101" s="761"/>
      <c r="C101" s="762"/>
      <c r="D101" s="762"/>
    </row>
    <row r="102" spans="1:4" s="748" customFormat="1" ht="18.75" x14ac:dyDescent="0.3">
      <c r="A102" s="760"/>
      <c r="B102" s="761"/>
      <c r="C102" s="762"/>
      <c r="D102" s="762"/>
    </row>
    <row r="103" spans="1:4" s="748" customFormat="1" ht="18.75" x14ac:dyDescent="0.3">
      <c r="A103" s="760"/>
      <c r="B103" s="761"/>
      <c r="C103" s="762"/>
      <c r="D103" s="762"/>
    </row>
    <row r="104" spans="1:4" s="748" customFormat="1" ht="18.75" x14ac:dyDescent="0.3">
      <c r="A104" s="760"/>
      <c r="B104" s="761"/>
      <c r="C104" s="762"/>
      <c r="D104" s="762"/>
    </row>
    <row r="105" spans="1:4" s="748" customFormat="1" ht="18.75" x14ac:dyDescent="0.3">
      <c r="A105" s="760"/>
      <c r="B105" s="761"/>
      <c r="C105" s="762"/>
      <c r="D105" s="762"/>
    </row>
    <row r="106" spans="1:4" s="748" customFormat="1" ht="18.75" x14ac:dyDescent="0.3">
      <c r="A106" s="760"/>
      <c r="B106" s="761"/>
      <c r="C106" s="762"/>
      <c r="D106" s="762"/>
    </row>
    <row r="107" spans="1:4" s="748" customFormat="1" ht="18.75" x14ac:dyDescent="0.3">
      <c r="A107" s="760"/>
      <c r="B107" s="761"/>
      <c r="C107" s="762"/>
      <c r="D107" s="762"/>
    </row>
    <row r="108" spans="1:4" s="748" customFormat="1" ht="18.75" x14ac:dyDescent="0.3">
      <c r="A108" s="760"/>
      <c r="B108" s="761"/>
      <c r="C108" s="762"/>
      <c r="D108" s="762"/>
    </row>
    <row r="109" spans="1:4" s="748" customFormat="1" ht="18.75" x14ac:dyDescent="0.3">
      <c r="A109" s="760"/>
      <c r="B109" s="761"/>
      <c r="C109" s="762"/>
      <c r="D109" s="762"/>
    </row>
    <row r="110" spans="1:4" s="748" customFormat="1" ht="18.75" x14ac:dyDescent="0.3">
      <c r="A110" s="760"/>
      <c r="B110" s="761"/>
      <c r="C110" s="762"/>
      <c r="D110" s="762"/>
    </row>
    <row r="111" spans="1:4" s="748" customFormat="1" ht="18.75" x14ac:dyDescent="0.3">
      <c r="A111" s="760"/>
      <c r="B111" s="761"/>
      <c r="C111" s="762"/>
      <c r="D111" s="762"/>
    </row>
    <row r="112" spans="1:4" s="748" customFormat="1" ht="18.75" x14ac:dyDescent="0.3">
      <c r="A112" s="760"/>
      <c r="B112" s="761"/>
      <c r="C112" s="762"/>
      <c r="D112" s="762"/>
    </row>
    <row r="113" spans="1:4" s="748" customFormat="1" ht="18.75" x14ac:dyDescent="0.3">
      <c r="A113" s="760"/>
      <c r="B113" s="761"/>
      <c r="C113" s="762"/>
      <c r="D113" s="762"/>
    </row>
    <row r="114" spans="1:4" s="748" customFormat="1" ht="18.75" x14ac:dyDescent="0.3">
      <c r="A114" s="760"/>
      <c r="B114" s="761"/>
      <c r="C114" s="762"/>
      <c r="D114" s="762"/>
    </row>
    <row r="115" spans="1:4" s="748" customFormat="1" ht="18.75" x14ac:dyDescent="0.3">
      <c r="A115" s="760"/>
      <c r="B115" s="761"/>
      <c r="C115" s="762"/>
      <c r="D115" s="762"/>
    </row>
    <row r="116" spans="1:4" s="748" customFormat="1" ht="18.75" x14ac:dyDescent="0.3">
      <c r="A116" s="760"/>
      <c r="B116" s="761"/>
      <c r="C116" s="762"/>
      <c r="D116" s="762"/>
    </row>
    <row r="117" spans="1:4" s="748" customFormat="1" ht="18.75" x14ac:dyDescent="0.3">
      <c r="A117" s="760"/>
      <c r="B117" s="761"/>
      <c r="C117" s="762"/>
      <c r="D117" s="762"/>
    </row>
    <row r="118" spans="1:4" s="748" customFormat="1" ht="18.75" x14ac:dyDescent="0.3">
      <c r="A118" s="760"/>
      <c r="B118" s="761"/>
      <c r="C118" s="762"/>
      <c r="D118" s="762"/>
    </row>
    <row r="119" spans="1:4" s="748" customFormat="1" ht="18.75" x14ac:dyDescent="0.3">
      <c r="A119" s="760"/>
      <c r="B119" s="761"/>
      <c r="C119" s="762"/>
      <c r="D119" s="762"/>
    </row>
    <row r="120" spans="1:4" s="748" customFormat="1" ht="18.75" x14ac:dyDescent="0.3">
      <c r="A120" s="760"/>
      <c r="B120" s="761"/>
      <c r="C120" s="762"/>
      <c r="D120" s="762"/>
    </row>
    <row r="121" spans="1:4" s="748" customFormat="1" ht="18.75" x14ac:dyDescent="0.3">
      <c r="A121" s="760"/>
      <c r="B121" s="761"/>
      <c r="C121" s="762"/>
      <c r="D121" s="762"/>
    </row>
    <row r="122" spans="1:4" s="748" customFormat="1" ht="18.75" x14ac:dyDescent="0.3">
      <c r="A122" s="760"/>
      <c r="B122" s="761"/>
      <c r="C122" s="762"/>
      <c r="D122" s="762"/>
    </row>
    <row r="123" spans="1:4" s="748" customFormat="1" ht="18.75" x14ac:dyDescent="0.3">
      <c r="A123" s="760"/>
      <c r="B123" s="761"/>
      <c r="C123" s="762"/>
      <c r="D123" s="762"/>
    </row>
    <row r="124" spans="1:4" s="748" customFormat="1" ht="18.75" x14ac:dyDescent="0.3">
      <c r="A124" s="760"/>
      <c r="B124" s="761"/>
      <c r="C124" s="762"/>
      <c r="D124" s="762"/>
    </row>
    <row r="125" spans="1:4" s="748" customFormat="1" ht="18.75" x14ac:dyDescent="0.3">
      <c r="A125" s="760"/>
      <c r="B125" s="761"/>
      <c r="C125" s="762"/>
      <c r="D125" s="762"/>
    </row>
    <row r="126" spans="1:4" s="748" customFormat="1" ht="18.75" x14ac:dyDescent="0.3">
      <c r="A126" s="760"/>
      <c r="B126" s="761"/>
      <c r="C126" s="762"/>
      <c r="D126" s="762"/>
    </row>
    <row r="127" spans="1:4" s="748" customFormat="1" ht="18.75" x14ac:dyDescent="0.3">
      <c r="A127" s="760"/>
      <c r="B127" s="761"/>
      <c r="C127" s="762"/>
      <c r="D127" s="762"/>
    </row>
    <row r="128" spans="1:4" s="748" customFormat="1" ht="18.75" x14ac:dyDescent="0.3">
      <c r="A128" s="760"/>
      <c r="B128" s="761"/>
      <c r="C128" s="762"/>
      <c r="D128" s="762"/>
    </row>
    <row r="129" spans="1:4" s="748" customFormat="1" ht="18.75" x14ac:dyDescent="0.3">
      <c r="A129" s="760"/>
      <c r="B129" s="761"/>
      <c r="C129" s="762"/>
      <c r="D129" s="762"/>
    </row>
    <row r="130" spans="1:4" s="748" customFormat="1" ht="18.75" x14ac:dyDescent="0.3">
      <c r="A130" s="760"/>
      <c r="B130" s="761"/>
      <c r="C130" s="762"/>
      <c r="D130" s="762"/>
    </row>
    <row r="131" spans="1:4" s="748" customFormat="1" ht="18.75" x14ac:dyDescent="0.3">
      <c r="A131" s="760"/>
      <c r="B131" s="761"/>
      <c r="C131" s="762"/>
      <c r="D131" s="762"/>
    </row>
    <row r="132" spans="1:4" s="748" customFormat="1" ht="18.75" x14ac:dyDescent="0.3">
      <c r="A132" s="760"/>
      <c r="B132" s="761"/>
      <c r="C132" s="762"/>
      <c r="D132" s="762"/>
    </row>
    <row r="133" spans="1:4" s="748" customFormat="1" ht="18.75" x14ac:dyDescent="0.3">
      <c r="A133" s="760"/>
      <c r="B133" s="761"/>
      <c r="C133" s="762"/>
      <c r="D133" s="762"/>
    </row>
    <row r="134" spans="1:4" s="748" customFormat="1" ht="18.75" x14ac:dyDescent="0.3">
      <c r="A134" s="760"/>
      <c r="B134" s="761"/>
      <c r="C134" s="762"/>
      <c r="D134" s="762"/>
    </row>
    <row r="135" spans="1:4" s="748" customFormat="1" ht="18.75" x14ac:dyDescent="0.3">
      <c r="A135" s="760"/>
      <c r="B135" s="761"/>
      <c r="C135" s="762"/>
      <c r="D135" s="762"/>
    </row>
    <row r="136" spans="1:4" s="748" customFormat="1" ht="18.75" x14ac:dyDescent="0.3">
      <c r="A136" s="760"/>
      <c r="B136" s="761"/>
      <c r="C136" s="762"/>
      <c r="D136" s="762"/>
    </row>
    <row r="137" spans="1:4" s="748" customFormat="1" ht="18.75" x14ac:dyDescent="0.3">
      <c r="A137" s="760"/>
      <c r="B137" s="761"/>
      <c r="C137" s="762"/>
      <c r="D137" s="762"/>
    </row>
    <row r="138" spans="1:4" s="748" customFormat="1" ht="18.75" x14ac:dyDescent="0.3">
      <c r="A138" s="760"/>
      <c r="B138" s="761"/>
      <c r="C138" s="762"/>
      <c r="D138" s="762"/>
    </row>
    <row r="139" spans="1:4" s="748" customFormat="1" ht="18.75" x14ac:dyDescent="0.3">
      <c r="A139" s="760"/>
      <c r="B139" s="761"/>
      <c r="C139" s="762"/>
      <c r="D139" s="762"/>
    </row>
    <row r="140" spans="1:4" s="748" customFormat="1" ht="18.75" x14ac:dyDescent="0.3">
      <c r="A140" s="760"/>
      <c r="B140" s="761"/>
      <c r="C140" s="762"/>
      <c r="D140" s="762"/>
    </row>
    <row r="141" spans="1:4" s="748" customFormat="1" ht="18.75" x14ac:dyDescent="0.3">
      <c r="A141" s="760"/>
      <c r="B141" s="761"/>
      <c r="C141" s="762"/>
      <c r="D141" s="762"/>
    </row>
    <row r="142" spans="1:4" s="748" customFormat="1" ht="18.75" x14ac:dyDescent="0.3">
      <c r="A142" s="760"/>
      <c r="B142" s="761"/>
      <c r="C142" s="762"/>
      <c r="D142" s="762"/>
    </row>
    <row r="143" spans="1:4" s="748" customFormat="1" ht="18.75" x14ac:dyDescent="0.3">
      <c r="A143" s="760"/>
      <c r="B143" s="761"/>
      <c r="C143" s="762"/>
      <c r="D143" s="762"/>
    </row>
    <row r="144" spans="1:4" s="748" customFormat="1" ht="18.75" x14ac:dyDescent="0.3">
      <c r="A144" s="760"/>
      <c r="B144" s="761"/>
      <c r="C144" s="762"/>
      <c r="D144" s="762"/>
    </row>
    <row r="145" spans="1:4" s="748" customFormat="1" ht="18.75" x14ac:dyDescent="0.3">
      <c r="A145" s="760"/>
      <c r="B145" s="761"/>
      <c r="C145" s="762"/>
      <c r="D145" s="762"/>
    </row>
    <row r="146" spans="1:4" s="748" customFormat="1" ht="18.75" hidden="1" x14ac:dyDescent="0.3">
      <c r="A146" s="760"/>
      <c r="B146" s="761"/>
      <c r="C146" s="762"/>
      <c r="D146" s="762"/>
    </row>
    <row r="147" spans="1:4" s="748" customFormat="1" ht="18.75" hidden="1" x14ac:dyDescent="0.3">
      <c r="A147" s="760"/>
      <c r="B147" s="761"/>
      <c r="C147" s="762"/>
      <c r="D147" s="762"/>
    </row>
    <row r="148" spans="1:4" s="748" customFormat="1" ht="18.75" hidden="1" x14ac:dyDescent="0.3">
      <c r="A148" s="760"/>
      <c r="B148" s="761"/>
      <c r="C148" s="762"/>
      <c r="D148" s="762"/>
    </row>
    <row r="149" spans="1:4" s="748" customFormat="1" ht="18.75" hidden="1" x14ac:dyDescent="0.3">
      <c r="A149" s="760"/>
      <c r="B149" s="761"/>
      <c r="C149" s="762"/>
      <c r="D149" s="762"/>
    </row>
    <row r="150" spans="1:4" s="748" customFormat="1" ht="18.75" hidden="1" x14ac:dyDescent="0.3">
      <c r="A150" s="760"/>
      <c r="B150" s="761"/>
      <c r="C150" s="762"/>
      <c r="D150" s="762"/>
    </row>
    <row r="151" spans="1:4" s="748" customFormat="1" ht="18.75" x14ac:dyDescent="0.3">
      <c r="A151" s="760"/>
      <c r="B151" s="761"/>
      <c r="C151" s="762"/>
      <c r="D151" s="762"/>
    </row>
    <row r="152" spans="1:4" s="748" customFormat="1" ht="18.75" x14ac:dyDescent="0.3">
      <c r="A152" s="760"/>
      <c r="B152" s="761"/>
      <c r="C152" s="762"/>
      <c r="D152" s="762"/>
    </row>
    <row r="153" spans="1:4" s="748" customFormat="1" ht="18.75" x14ac:dyDescent="0.3">
      <c r="A153" s="760"/>
      <c r="B153" s="761"/>
      <c r="C153" s="762"/>
      <c r="D153" s="762"/>
    </row>
    <row r="154" spans="1:4" s="748" customFormat="1" ht="18.75" x14ac:dyDescent="0.3">
      <c r="B154" s="754"/>
      <c r="C154" s="747"/>
      <c r="D154" s="755"/>
    </row>
    <row r="155" spans="1:4" s="748" customFormat="1" ht="18.75" x14ac:dyDescent="0.3">
      <c r="B155" s="754"/>
      <c r="C155" s="747"/>
      <c r="D155" s="755"/>
    </row>
    <row r="156" spans="1:4" s="748" customFormat="1" ht="18.75" hidden="1" x14ac:dyDescent="0.3">
      <c r="B156" s="754"/>
      <c r="C156" s="747"/>
      <c r="D156" s="755"/>
    </row>
    <row r="157" spans="1:4" s="748" customFormat="1" ht="18.75" hidden="1" x14ac:dyDescent="0.3">
      <c r="B157" s="754"/>
      <c r="C157" s="747"/>
      <c r="D157" s="755"/>
    </row>
    <row r="158" spans="1:4" s="748" customFormat="1" ht="18.75" hidden="1" x14ac:dyDescent="0.3">
      <c r="B158" s="754"/>
      <c r="C158" s="747"/>
      <c r="D158" s="755"/>
    </row>
    <row r="159" spans="1:4" s="748" customFormat="1" ht="18.75" hidden="1" x14ac:dyDescent="0.3">
      <c r="B159" s="754"/>
      <c r="C159" s="747"/>
      <c r="D159" s="755"/>
    </row>
    <row r="160" spans="1:4" s="748" customFormat="1" ht="18.75" hidden="1" x14ac:dyDescent="0.3">
      <c r="B160" s="754"/>
      <c r="C160" s="747"/>
      <c r="D160" s="755"/>
    </row>
    <row r="161" spans="2:4" s="748" customFormat="1" ht="18.75" hidden="1" x14ac:dyDescent="0.3">
      <c r="B161" s="754"/>
      <c r="C161" s="747"/>
      <c r="D161" s="755"/>
    </row>
    <row r="162" spans="2:4" s="748" customFormat="1" ht="18.75" hidden="1" x14ac:dyDescent="0.3">
      <c r="B162" s="754"/>
      <c r="C162" s="747"/>
      <c r="D162" s="755"/>
    </row>
    <row r="163" spans="2:4" s="748" customFormat="1" ht="18.75" hidden="1" x14ac:dyDescent="0.3">
      <c r="B163" s="754"/>
      <c r="C163" s="747"/>
      <c r="D163" s="755"/>
    </row>
    <row r="164" spans="2:4" s="748" customFormat="1" ht="18.75" hidden="1" x14ac:dyDescent="0.3">
      <c r="B164" s="754"/>
      <c r="C164" s="747"/>
      <c r="D164" s="755"/>
    </row>
    <row r="165" spans="2:4" s="748" customFormat="1" ht="18.75" hidden="1" x14ac:dyDescent="0.3">
      <c r="B165" s="754"/>
      <c r="C165" s="747"/>
      <c r="D165" s="755"/>
    </row>
    <row r="166" spans="2:4" s="748" customFormat="1" ht="18.75" hidden="1" x14ac:dyDescent="0.3">
      <c r="B166" s="754"/>
      <c r="C166" s="747"/>
      <c r="D166" s="755"/>
    </row>
    <row r="167" spans="2:4" s="748" customFormat="1" ht="18.75" hidden="1" x14ac:dyDescent="0.3">
      <c r="B167" s="754"/>
      <c r="C167" s="747"/>
      <c r="D167" s="755"/>
    </row>
    <row r="168" spans="2:4" s="748" customFormat="1" ht="18.75" hidden="1" x14ac:dyDescent="0.3">
      <c r="B168" s="754"/>
      <c r="C168" s="747"/>
      <c r="D168" s="755"/>
    </row>
    <row r="169" spans="2:4" s="748" customFormat="1" ht="18.75" hidden="1" x14ac:dyDescent="0.3">
      <c r="B169" s="754"/>
      <c r="C169" s="747"/>
      <c r="D169" s="755"/>
    </row>
    <row r="170" spans="2:4" s="748" customFormat="1" ht="18.75" hidden="1" x14ac:dyDescent="0.3">
      <c r="B170" s="754"/>
      <c r="C170" s="747"/>
      <c r="D170" s="755"/>
    </row>
    <row r="171" spans="2:4" s="748" customFormat="1" ht="18.75" hidden="1" x14ac:dyDescent="0.3">
      <c r="B171" s="754"/>
      <c r="C171" s="747"/>
      <c r="D171" s="755"/>
    </row>
    <row r="172" spans="2:4" s="748" customFormat="1" ht="18.75" hidden="1" x14ac:dyDescent="0.3">
      <c r="B172" s="754"/>
      <c r="C172" s="747"/>
      <c r="D172" s="755"/>
    </row>
    <row r="173" spans="2:4" s="748" customFormat="1" ht="18.75" hidden="1" x14ac:dyDescent="0.3">
      <c r="B173" s="754"/>
      <c r="C173" s="747"/>
      <c r="D173" s="755"/>
    </row>
    <row r="174" spans="2:4" s="748" customFormat="1" ht="18.75" hidden="1" x14ac:dyDescent="0.3">
      <c r="B174" s="754"/>
      <c r="C174" s="747"/>
      <c r="D174" s="755"/>
    </row>
    <row r="175" spans="2:4" s="748" customFormat="1" ht="18.75" hidden="1" x14ac:dyDescent="0.3">
      <c r="B175" s="754"/>
      <c r="C175" s="747"/>
      <c r="D175" s="755"/>
    </row>
    <row r="176" spans="2:4" s="748" customFormat="1" ht="18.75" hidden="1" x14ac:dyDescent="0.3">
      <c r="B176" s="754"/>
      <c r="C176" s="747"/>
      <c r="D176" s="755"/>
    </row>
    <row r="177" spans="2:4" s="748" customFormat="1" ht="18.75" hidden="1" x14ac:dyDescent="0.3">
      <c r="B177" s="754"/>
      <c r="C177" s="747"/>
      <c r="D177" s="755"/>
    </row>
    <row r="178" spans="2:4" s="748" customFormat="1" ht="18.75" hidden="1" x14ac:dyDescent="0.3">
      <c r="B178" s="754"/>
      <c r="C178" s="747"/>
      <c r="D178" s="755"/>
    </row>
    <row r="179" spans="2:4" s="748" customFormat="1" ht="18.75" hidden="1" x14ac:dyDescent="0.3">
      <c r="B179" s="754"/>
      <c r="C179" s="747"/>
      <c r="D179" s="755"/>
    </row>
    <row r="180" spans="2:4" s="748" customFormat="1" ht="18.75" hidden="1" x14ac:dyDescent="0.3">
      <c r="B180" s="754"/>
      <c r="C180" s="747"/>
      <c r="D180" s="755"/>
    </row>
    <row r="181" spans="2:4" s="748" customFormat="1" ht="18.75" hidden="1" x14ac:dyDescent="0.3">
      <c r="B181" s="754"/>
      <c r="C181" s="747"/>
      <c r="D181" s="755"/>
    </row>
    <row r="182" spans="2:4" s="748" customFormat="1" ht="18.75" hidden="1" x14ac:dyDescent="0.3">
      <c r="B182" s="754"/>
      <c r="C182" s="747"/>
      <c r="D182" s="755"/>
    </row>
    <row r="183" spans="2:4" s="748" customFormat="1" ht="18.75" hidden="1" x14ac:dyDescent="0.3"/>
    <row r="184" spans="2:4" s="748" customFormat="1" ht="18.75" hidden="1" x14ac:dyDescent="0.3"/>
    <row r="185" spans="2:4" x14ac:dyDescent="0.25"/>
    <row r="186" spans="2:4" x14ac:dyDescent="0.25"/>
    <row r="187" spans="2:4" x14ac:dyDescent="0.25"/>
    <row r="188" spans="2:4" x14ac:dyDescent="0.25"/>
    <row r="189" spans="2:4" x14ac:dyDescent="0.25"/>
    <row r="190" spans="2:4" x14ac:dyDescent="0.25"/>
    <row r="191" spans="2:4" x14ac:dyDescent="0.25"/>
    <row r="192" spans="2:4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</sheetData>
  <mergeCells count="2">
    <mergeCell ref="B5:C5"/>
    <mergeCell ref="B24:C24"/>
  </mergeCells>
  <pageMargins left="0.70866141732283472" right="0.70866141732283472" top="0.74803149606299213" bottom="0.74803149606299213" header="0.31496062992125984" footer="0.31496062992125984"/>
  <pageSetup paperSize="9" scale="55" fitToHeight="20" orientation="portrait" r:id="rId1"/>
  <headerFooter>
    <oddFooter>&amp;C&amp;10&amp;P из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2</xdr:col>
                    <xdr:colOff>933450</xdr:colOff>
                    <xdr:row>6</xdr:row>
                    <xdr:rowOff>200025</xdr:rowOff>
                  </from>
                  <to>
                    <xdr:col>2</xdr:col>
                    <xdr:colOff>1162050</xdr:colOff>
                    <xdr:row>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2</xdr:col>
                    <xdr:colOff>933450</xdr:colOff>
                    <xdr:row>7</xdr:row>
                    <xdr:rowOff>57150</xdr:rowOff>
                  </from>
                  <to>
                    <xdr:col>2</xdr:col>
                    <xdr:colOff>1162050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2</xdr:col>
                    <xdr:colOff>933450</xdr:colOff>
                    <xdr:row>8</xdr:row>
                    <xdr:rowOff>219075</xdr:rowOff>
                  </from>
                  <to>
                    <xdr:col>2</xdr:col>
                    <xdr:colOff>1162050</xdr:colOff>
                    <xdr:row>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2</xdr:col>
                    <xdr:colOff>942975</xdr:colOff>
                    <xdr:row>9</xdr:row>
                    <xdr:rowOff>133350</xdr:rowOff>
                  </from>
                  <to>
                    <xdr:col>2</xdr:col>
                    <xdr:colOff>1152525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2</xdr:col>
                    <xdr:colOff>933450</xdr:colOff>
                    <xdr:row>10</xdr:row>
                    <xdr:rowOff>314325</xdr:rowOff>
                  </from>
                  <to>
                    <xdr:col>2</xdr:col>
                    <xdr:colOff>1162050</xdr:colOff>
                    <xdr:row>10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2</xdr:col>
                    <xdr:colOff>942975</xdr:colOff>
                    <xdr:row>11</xdr:row>
                    <xdr:rowOff>238125</xdr:rowOff>
                  </from>
                  <to>
                    <xdr:col>2</xdr:col>
                    <xdr:colOff>1162050</xdr:colOff>
                    <xdr:row>11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2</xdr:col>
                    <xdr:colOff>962025</xdr:colOff>
                    <xdr:row>12</xdr:row>
                    <xdr:rowOff>228600</xdr:rowOff>
                  </from>
                  <to>
                    <xdr:col>2</xdr:col>
                    <xdr:colOff>1143000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2</xdr:col>
                    <xdr:colOff>923925</xdr:colOff>
                    <xdr:row>13</xdr:row>
                    <xdr:rowOff>400050</xdr:rowOff>
                  </from>
                  <to>
                    <xdr:col>2</xdr:col>
                    <xdr:colOff>1181100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Check Box 9">
              <controlPr defaultSize="0" autoFill="0" autoLine="0" autoPict="0">
                <anchor moveWithCells="1">
                  <from>
                    <xdr:col>2</xdr:col>
                    <xdr:colOff>933450</xdr:colOff>
                    <xdr:row>16</xdr:row>
                    <xdr:rowOff>57150</xdr:rowOff>
                  </from>
                  <to>
                    <xdr:col>2</xdr:col>
                    <xdr:colOff>1162050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Check Box 10">
              <controlPr defaultSize="0" autoFill="0" autoLine="0" autoPict="0">
                <anchor moveWithCells="1">
                  <from>
                    <xdr:col>2</xdr:col>
                    <xdr:colOff>933450</xdr:colOff>
                    <xdr:row>17</xdr:row>
                    <xdr:rowOff>57150</xdr:rowOff>
                  </from>
                  <to>
                    <xdr:col>2</xdr:col>
                    <xdr:colOff>1162050</xdr:colOff>
                    <xdr:row>17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Check Box 11">
              <controlPr defaultSize="0" autoFill="0" autoLine="0" autoPict="0">
                <anchor moveWithCells="1">
                  <from>
                    <xdr:col>2</xdr:col>
                    <xdr:colOff>933450</xdr:colOff>
                    <xdr:row>18</xdr:row>
                    <xdr:rowOff>57150</xdr:rowOff>
                  </from>
                  <to>
                    <xdr:col>2</xdr:col>
                    <xdr:colOff>1162050</xdr:colOff>
                    <xdr:row>18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4CE9-32B0-4BD6-91FE-2695C81EB4C0}">
  <sheetPr codeName="Лист12">
    <tabColor theme="8" tint="0.79998168889431442"/>
    <outlinePr summaryRight="0"/>
    <pageSetUpPr fitToPage="1"/>
  </sheetPr>
  <dimension ref="A1:AJ120"/>
  <sheetViews>
    <sheetView zoomScale="85" zoomScaleNormal="85" workbookViewId="0">
      <pane xSplit="4" ySplit="4" topLeftCell="E5" activePane="bottomRight" state="frozen"/>
      <selection activeCell="D130" sqref="D130"/>
      <selection pane="topRight" activeCell="D130" sqref="D130"/>
      <selection pane="bottomLeft" activeCell="D130" sqref="D130"/>
      <selection pane="bottomRight"/>
    </sheetView>
  </sheetViews>
  <sheetFormatPr defaultRowHeight="15" outlineLevelCol="1" x14ac:dyDescent="0.25"/>
  <cols>
    <col min="1" max="1" width="13.140625" customWidth="1"/>
    <col min="2" max="2" width="27.7109375" customWidth="1"/>
    <col min="3" max="3" width="13" style="5" customWidth="1"/>
    <col min="4" max="4" width="11" customWidth="1"/>
    <col min="5" max="5" width="2.28515625" customWidth="1"/>
    <col min="17" max="17" width="1.140625" customWidth="1"/>
    <col min="18" max="18" width="13.42578125" customWidth="1"/>
    <col min="19" max="19" width="1.140625" customWidth="1"/>
    <col min="20" max="20" width="2.85546875" customWidth="1" collapsed="1"/>
    <col min="21" max="29" width="8.85546875" hidden="1" customWidth="1" outlineLevel="1"/>
    <col min="30" max="30" width="1.5703125" customWidth="1"/>
    <col min="31" max="31" width="29.28515625" customWidth="1"/>
  </cols>
  <sheetData>
    <row r="1" spans="1:36" ht="25.5" x14ac:dyDescent="0.25">
      <c r="A1" s="690" t="s">
        <v>693</v>
      </c>
      <c r="B1" s="71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158" t="s">
        <v>181</v>
      </c>
      <c r="U1" s="71"/>
      <c r="V1" s="71"/>
      <c r="W1" s="71"/>
      <c r="X1" s="71"/>
      <c r="Y1" s="71"/>
      <c r="Z1" s="71"/>
      <c r="AA1" s="71"/>
      <c r="AB1" s="71"/>
      <c r="AC1" s="71"/>
      <c r="AD1" s="71"/>
      <c r="AE1" s="167"/>
      <c r="AF1" s="71"/>
      <c r="AG1" s="71"/>
      <c r="AH1" s="71"/>
      <c r="AI1" s="71"/>
      <c r="AJ1" s="71"/>
    </row>
    <row r="2" spans="1:36" ht="15.4" customHeight="1" x14ac:dyDescent="0.25">
      <c r="A2" s="71" t="str">
        <f>Паспорт_ФМ_резидент!B7</f>
        <v>Название инвест. проект 01</v>
      </c>
      <c r="B2" s="71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26">
        <v>11</v>
      </c>
      <c r="Q2" s="71"/>
      <c r="R2" s="71"/>
      <c r="S2" s="71"/>
      <c r="T2" s="159"/>
      <c r="U2" s="162">
        <f>P2+1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  <c r="AF2" s="71"/>
      <c r="AG2" s="71"/>
      <c r="AH2" s="71"/>
      <c r="AI2" s="71"/>
      <c r="AJ2" s="71"/>
    </row>
    <row r="3" spans="1:36" s="18" customFormat="1" ht="28.5" x14ac:dyDescent="0.25">
      <c r="A3" s="78" t="s">
        <v>2</v>
      </c>
      <c r="B3" s="78" t="s">
        <v>3</v>
      </c>
      <c r="C3" s="190" t="s">
        <v>12</v>
      </c>
      <c r="D3" s="199" t="str">
        <f>CONCATENATE("Итого ",F3,"-",P3)</f>
        <v>Итого 2025-2035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P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27">
        <f t="shared" si="1"/>
        <v>2035</v>
      </c>
      <c r="Q3" s="155"/>
      <c r="R3" s="127" t="s">
        <v>106</v>
      </c>
      <c r="S3" s="155"/>
      <c r="T3" s="160"/>
      <c r="U3" s="163">
        <f>P3+1</f>
        <v>2036</v>
      </c>
      <c r="V3" s="163">
        <f>U3+1</f>
        <v>2037</v>
      </c>
      <c r="W3" s="163">
        <f t="shared" si="0"/>
        <v>2038</v>
      </c>
      <c r="X3" s="163">
        <f t="shared" si="0"/>
        <v>2039</v>
      </c>
      <c r="Y3" s="163">
        <f t="shared" si="0"/>
        <v>2040</v>
      </c>
      <c r="Z3" s="163">
        <f t="shared" si="0"/>
        <v>2041</v>
      </c>
      <c r="AA3" s="163">
        <f t="shared" si="0"/>
        <v>2042</v>
      </c>
      <c r="AB3" s="163">
        <f t="shared" si="0"/>
        <v>2043</v>
      </c>
      <c r="AC3" s="163">
        <f t="shared" si="0"/>
        <v>2044</v>
      </c>
      <c r="AD3" s="155"/>
      <c r="AE3" s="127" t="s">
        <v>28</v>
      </c>
      <c r="AF3" s="155"/>
      <c r="AG3" s="155"/>
      <c r="AH3" s="155"/>
      <c r="AI3" s="155"/>
      <c r="AJ3" s="155"/>
    </row>
    <row r="4" spans="1:36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71"/>
      <c r="R4" s="128"/>
      <c r="S4" s="71"/>
      <c r="T4" s="159"/>
      <c r="U4" s="108"/>
      <c r="V4" s="108"/>
      <c r="W4" s="108"/>
      <c r="X4" s="108"/>
      <c r="Y4" s="108"/>
      <c r="Z4" s="108"/>
      <c r="AA4" s="108"/>
      <c r="AB4" s="108"/>
      <c r="AC4" s="108"/>
      <c r="AD4" s="71"/>
      <c r="AE4" s="128"/>
      <c r="AF4" s="71"/>
      <c r="AG4" s="71"/>
      <c r="AH4" s="71"/>
      <c r="AI4" s="71"/>
      <c r="AJ4" s="71"/>
    </row>
    <row r="5" spans="1:36" s="13" customFormat="1" ht="15.75" x14ac:dyDescent="0.25">
      <c r="A5" s="830" t="s">
        <v>738</v>
      </c>
      <c r="B5" s="831"/>
      <c r="C5" s="832"/>
      <c r="D5" s="129"/>
      <c r="E5" s="123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71"/>
      <c r="R5" s="129"/>
      <c r="S5" s="71"/>
      <c r="T5" s="160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</row>
    <row r="6" spans="1:36" ht="34.15" customHeight="1" x14ac:dyDescent="0.25">
      <c r="A6" s="149"/>
      <c r="B6" s="178" t="s">
        <v>143</v>
      </c>
      <c r="C6" s="191" t="s">
        <v>120</v>
      </c>
      <c r="D6" s="131"/>
      <c r="E6" s="71"/>
      <c r="F6" s="130">
        <v>1.042</v>
      </c>
      <c r="G6" s="130">
        <v>1.04</v>
      </c>
      <c r="H6" s="130">
        <v>1.04</v>
      </c>
      <c r="I6" s="130">
        <v>1.04</v>
      </c>
      <c r="J6" s="130">
        <v>1.04</v>
      </c>
      <c r="K6" s="130">
        <v>1.04</v>
      </c>
      <c r="L6" s="130">
        <v>1.04</v>
      </c>
      <c r="M6" s="130">
        <v>1.04</v>
      </c>
      <c r="N6" s="130">
        <v>1.04</v>
      </c>
      <c r="O6" s="130">
        <v>1.04</v>
      </c>
      <c r="P6" s="130">
        <v>1.04</v>
      </c>
      <c r="Q6" s="71"/>
      <c r="R6" s="71"/>
      <c r="S6" s="71"/>
      <c r="T6" s="160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ht="34.15" customHeight="1" x14ac:dyDescent="0.25">
      <c r="A7" s="149"/>
      <c r="B7" s="178" t="s">
        <v>105</v>
      </c>
      <c r="C7" s="191" t="s">
        <v>27</v>
      </c>
      <c r="D7" s="131"/>
      <c r="E7" s="71"/>
      <c r="F7" s="131">
        <v>0.02</v>
      </c>
      <c r="G7" s="131">
        <v>0.02</v>
      </c>
      <c r="H7" s="131">
        <v>0.02</v>
      </c>
      <c r="I7" s="131">
        <v>0.02</v>
      </c>
      <c r="J7" s="131">
        <v>0.02</v>
      </c>
      <c r="K7" s="131">
        <v>0.02</v>
      </c>
      <c r="L7" s="131">
        <v>0.02</v>
      </c>
      <c r="M7" s="131">
        <v>0.02</v>
      </c>
      <c r="N7" s="131">
        <v>0.02</v>
      </c>
      <c r="O7" s="131">
        <v>0.02</v>
      </c>
      <c r="P7" s="131">
        <v>0.02</v>
      </c>
      <c r="Q7" s="71"/>
      <c r="R7" s="71"/>
      <c r="S7" s="71"/>
      <c r="T7" s="160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1:36" ht="34.15" customHeight="1" x14ac:dyDescent="0.25">
      <c r="A8" s="149"/>
      <c r="B8" s="178" t="s">
        <v>722</v>
      </c>
      <c r="C8" s="191" t="s">
        <v>120</v>
      </c>
      <c r="D8" s="131"/>
      <c r="E8" s="71"/>
      <c r="F8" s="130">
        <v>1.026</v>
      </c>
      <c r="G8" s="130">
        <v>1.024</v>
      </c>
      <c r="H8" s="130">
        <v>1.024</v>
      </c>
      <c r="I8" s="130">
        <v>1.0269999999999999</v>
      </c>
      <c r="J8" s="130">
        <v>1.0269999999999999</v>
      </c>
      <c r="K8" s="130">
        <v>1.0269999999999999</v>
      </c>
      <c r="L8" s="130">
        <v>1.026</v>
      </c>
      <c r="M8" s="130">
        <v>1.026</v>
      </c>
      <c r="N8" s="130">
        <v>1.026</v>
      </c>
      <c r="O8" s="130">
        <v>1.026</v>
      </c>
      <c r="P8" s="130">
        <v>1.026</v>
      </c>
      <c r="Q8" s="71"/>
      <c r="R8" s="71"/>
      <c r="S8" s="71"/>
      <c r="T8" s="160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</row>
    <row r="9" spans="1:36" ht="34.15" customHeight="1" x14ac:dyDescent="0.25">
      <c r="A9" s="149"/>
      <c r="B9" s="178" t="s">
        <v>723</v>
      </c>
      <c r="C9" s="191" t="s">
        <v>120</v>
      </c>
      <c r="D9" s="131"/>
      <c r="E9" s="71"/>
      <c r="F9" s="130">
        <v>1.0489999999999999</v>
      </c>
      <c r="G9" s="130">
        <v>1.03</v>
      </c>
      <c r="H9" s="130">
        <v>1.0249999999999999</v>
      </c>
      <c r="I9" s="130">
        <v>1.0249999999999999</v>
      </c>
      <c r="J9" s="130">
        <v>1.0249999999999999</v>
      </c>
      <c r="K9" s="130">
        <v>1.0249999999999999</v>
      </c>
      <c r="L9" s="130">
        <v>1.0149999999999999</v>
      </c>
      <c r="M9" s="130">
        <v>1.0149999999999999</v>
      </c>
      <c r="N9" s="130">
        <v>1.0149999999999999</v>
      </c>
      <c r="O9" s="130">
        <v>1.0149999999999999</v>
      </c>
      <c r="P9" s="130">
        <v>1.0149999999999999</v>
      </c>
      <c r="Q9" s="71"/>
      <c r="R9" s="71"/>
      <c r="S9" s="71"/>
      <c r="T9" s="160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</row>
    <row r="10" spans="1:36" ht="34.15" customHeight="1" x14ac:dyDescent="0.25">
      <c r="A10" s="149"/>
      <c r="B10" s="178" t="s">
        <v>724</v>
      </c>
      <c r="C10" s="191" t="s">
        <v>120</v>
      </c>
      <c r="D10" s="131"/>
      <c r="E10" s="71"/>
      <c r="F10" s="130">
        <v>1.0489999999999999</v>
      </c>
      <c r="G10" s="130">
        <v>1.03</v>
      </c>
      <c r="H10" s="130">
        <v>1.0249999999999999</v>
      </c>
      <c r="I10" s="130">
        <v>1.0249999999999999</v>
      </c>
      <c r="J10" s="130">
        <v>1.0249999999999999</v>
      </c>
      <c r="K10" s="130">
        <v>1.0249999999999999</v>
      </c>
      <c r="L10" s="130">
        <v>1.0149999999999999</v>
      </c>
      <c r="M10" s="130">
        <v>1.0149999999999999</v>
      </c>
      <c r="N10" s="130">
        <v>1.0149999999999999</v>
      </c>
      <c r="O10" s="130">
        <v>1.0149999999999999</v>
      </c>
      <c r="P10" s="130">
        <v>1.0149999999999999</v>
      </c>
      <c r="Q10" s="71"/>
      <c r="R10" s="71"/>
      <c r="S10" s="71"/>
      <c r="T10" s="160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</row>
    <row r="11" spans="1:36" ht="34.15" customHeight="1" x14ac:dyDescent="0.25">
      <c r="A11" s="149"/>
      <c r="B11" s="178" t="s">
        <v>725</v>
      </c>
      <c r="C11" s="191" t="s">
        <v>120</v>
      </c>
      <c r="D11" s="131"/>
      <c r="E11" s="71"/>
      <c r="F11" s="130">
        <v>1.06</v>
      </c>
      <c r="G11" s="130">
        <v>1.0449999999999999</v>
      </c>
      <c r="H11" s="130">
        <v>1.04</v>
      </c>
      <c r="I11" s="130">
        <v>1.04</v>
      </c>
      <c r="J11" s="130">
        <v>1.04</v>
      </c>
      <c r="K11" s="130">
        <v>1.04</v>
      </c>
      <c r="L11" s="130">
        <v>1.04</v>
      </c>
      <c r="M11" s="130">
        <v>1.04</v>
      </c>
      <c r="N11" s="130">
        <v>1.04</v>
      </c>
      <c r="O11" s="130">
        <v>1.04</v>
      </c>
      <c r="P11" s="130">
        <v>1.04</v>
      </c>
      <c r="Q11" s="71"/>
      <c r="R11" s="71"/>
      <c r="S11" s="71"/>
      <c r="T11" s="160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</row>
    <row r="12" spans="1:36" ht="34.15" customHeight="1" x14ac:dyDescent="0.25">
      <c r="A12" s="149"/>
      <c r="B12" s="178" t="s">
        <v>726</v>
      </c>
      <c r="C12" s="191" t="s">
        <v>120</v>
      </c>
      <c r="D12" s="131"/>
      <c r="E12" s="71"/>
      <c r="F12" s="130">
        <v>1.0489999999999999</v>
      </c>
      <c r="G12" s="130">
        <v>1.03</v>
      </c>
      <c r="H12" s="130">
        <v>1.0249999999999999</v>
      </c>
      <c r="I12" s="130">
        <v>1.0249999999999999</v>
      </c>
      <c r="J12" s="130">
        <v>1.0249999999999999</v>
      </c>
      <c r="K12" s="130">
        <v>1.0249999999999999</v>
      </c>
      <c r="L12" s="130">
        <v>1.0149999999999999</v>
      </c>
      <c r="M12" s="130">
        <v>1.0149999999999999</v>
      </c>
      <c r="N12" s="130">
        <v>1.0149999999999999</v>
      </c>
      <c r="O12" s="130">
        <v>1.0149999999999999</v>
      </c>
      <c r="P12" s="130">
        <v>1.0149999999999999</v>
      </c>
      <c r="Q12" s="71"/>
      <c r="R12" s="71"/>
      <c r="S12" s="71"/>
      <c r="T12" s="160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ht="15.75" thickBot="1" x14ac:dyDescent="0.3">
      <c r="A13" s="132"/>
      <c r="B13" s="179"/>
      <c r="C13" s="192"/>
      <c r="D13" s="132"/>
      <c r="E13" s="7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71"/>
      <c r="R13" s="71"/>
      <c r="S13" s="71"/>
      <c r="T13" s="160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ht="7.15" customHeight="1" x14ac:dyDescent="0.25">
      <c r="A14" s="89"/>
      <c r="B14" s="180"/>
      <c r="C14" s="89"/>
      <c r="D14" s="89"/>
      <c r="E14" s="71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71"/>
      <c r="R14" s="71"/>
      <c r="S14" s="71"/>
      <c r="T14" s="160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1:36" s="13" customFormat="1" ht="15.75" x14ac:dyDescent="0.25">
      <c r="A15" s="830" t="s">
        <v>739</v>
      </c>
      <c r="B15" s="831"/>
      <c r="C15" s="832"/>
      <c r="D15" s="129"/>
      <c r="E15" s="123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71"/>
      <c r="R15" s="129"/>
      <c r="S15" s="71"/>
      <c r="T15" s="160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</row>
    <row r="16" spans="1:36" ht="24.95" customHeight="1" x14ac:dyDescent="0.25">
      <c r="A16" s="149"/>
      <c r="B16" s="178" t="s">
        <v>144</v>
      </c>
      <c r="C16" s="191" t="s">
        <v>27</v>
      </c>
      <c r="D16" s="131"/>
      <c r="E16" s="71"/>
      <c r="F16" s="131">
        <v>0.08</v>
      </c>
      <c r="G16" s="131">
        <v>6.5000000000000002E-2</v>
      </c>
      <c r="H16" s="131">
        <v>0.06</v>
      </c>
      <c r="I16" s="131">
        <v>5.5E-2</v>
      </c>
      <c r="J16" s="131">
        <v>5.5E-2</v>
      </c>
      <c r="K16" s="131">
        <v>5.5E-2</v>
      </c>
      <c r="L16" s="131">
        <v>5.5E-2</v>
      </c>
      <c r="M16" s="131">
        <v>5.5E-2</v>
      </c>
      <c r="N16" s="131">
        <v>5.5E-2</v>
      </c>
      <c r="O16" s="131">
        <v>5.5E-2</v>
      </c>
      <c r="P16" s="131">
        <v>5.5E-2</v>
      </c>
      <c r="Q16" s="71"/>
      <c r="R16" s="71"/>
      <c r="S16" s="71"/>
      <c r="T16" s="160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</row>
    <row r="17" spans="1:36" ht="24.95" customHeight="1" x14ac:dyDescent="0.25">
      <c r="A17" s="172" t="str" cm="1">
        <f t="array" aca="1" ref="A17" ca="1">HYPERLINK(CELL("адрес",WACC!C19),"источник")</f>
        <v>источник</v>
      </c>
      <c r="B17" s="181" t="s">
        <v>808</v>
      </c>
      <c r="C17" s="191" t="s">
        <v>27</v>
      </c>
      <c r="D17" s="131"/>
      <c r="E17" s="71"/>
      <c r="F17" s="131">
        <f ca="1">WACC!C19</f>
        <v>0.11356407843137253</v>
      </c>
      <c r="G17" s="131">
        <f ca="1">F17</f>
        <v>0.11356407843137253</v>
      </c>
      <c r="H17" s="131">
        <f t="shared" ref="H17:P17" ca="1" si="2">G17</f>
        <v>0.11356407843137253</v>
      </c>
      <c r="I17" s="131">
        <f t="shared" ca="1" si="2"/>
        <v>0.11356407843137253</v>
      </c>
      <c r="J17" s="131">
        <f t="shared" ca="1" si="2"/>
        <v>0.11356407843137253</v>
      </c>
      <c r="K17" s="131">
        <f t="shared" ca="1" si="2"/>
        <v>0.11356407843137253</v>
      </c>
      <c r="L17" s="131">
        <f t="shared" ca="1" si="2"/>
        <v>0.11356407843137253</v>
      </c>
      <c r="M17" s="131">
        <f t="shared" ca="1" si="2"/>
        <v>0.11356407843137253</v>
      </c>
      <c r="N17" s="131">
        <f t="shared" ca="1" si="2"/>
        <v>0.11356407843137253</v>
      </c>
      <c r="O17" s="131">
        <f t="shared" ca="1" si="2"/>
        <v>0.11356407843137253</v>
      </c>
      <c r="P17" s="131">
        <f t="shared" ca="1" si="2"/>
        <v>0.11356407843137253</v>
      </c>
      <c r="Q17" s="71"/>
      <c r="R17" s="71"/>
      <c r="S17" s="71"/>
      <c r="T17" s="160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68" t="s">
        <v>779</v>
      </c>
      <c r="AF17" s="71"/>
      <c r="AG17" s="71"/>
      <c r="AH17" s="71"/>
      <c r="AI17" s="71"/>
      <c r="AJ17" s="71"/>
    </row>
    <row r="18" spans="1:36" x14ac:dyDescent="0.25">
      <c r="A18" s="133"/>
      <c r="B18" s="182"/>
      <c r="C18" s="193"/>
      <c r="D18" s="133"/>
      <c r="E18" s="71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71"/>
      <c r="R18" s="71"/>
      <c r="S18" s="71"/>
      <c r="T18" s="160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</row>
    <row r="19" spans="1:36" x14ac:dyDescent="0.25">
      <c r="A19" s="133"/>
      <c r="B19" s="182" t="s">
        <v>688</v>
      </c>
      <c r="C19" s="191" t="s">
        <v>27</v>
      </c>
      <c r="D19" s="133"/>
      <c r="E19" s="71"/>
      <c r="F19" s="134">
        <v>0.12</v>
      </c>
      <c r="G19" s="134">
        <v>0.12</v>
      </c>
      <c r="H19" s="134">
        <v>0.12</v>
      </c>
      <c r="I19" s="134">
        <v>0.12</v>
      </c>
      <c r="J19" s="134">
        <v>0.12</v>
      </c>
      <c r="K19" s="134">
        <v>0.12</v>
      </c>
      <c r="L19" s="134">
        <v>0.12</v>
      </c>
      <c r="M19" s="134">
        <v>0.12</v>
      </c>
      <c r="N19" s="134">
        <v>0.12</v>
      </c>
      <c r="O19" s="134">
        <v>0.12</v>
      </c>
      <c r="P19" s="134">
        <v>0.12</v>
      </c>
      <c r="Q19" s="71"/>
      <c r="R19" s="71"/>
      <c r="S19" s="71"/>
      <c r="T19" s="160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</row>
    <row r="20" spans="1:36" x14ac:dyDescent="0.25">
      <c r="A20" s="133"/>
      <c r="B20" s="182" t="s">
        <v>689</v>
      </c>
      <c r="C20" s="191" t="s">
        <v>27</v>
      </c>
      <c r="D20" s="133"/>
      <c r="E20" s="71"/>
      <c r="F20" s="134">
        <v>0.05</v>
      </c>
      <c r="G20" s="134">
        <v>0.05</v>
      </c>
      <c r="H20" s="134">
        <v>0.05</v>
      </c>
      <c r="I20" s="134">
        <v>0.05</v>
      </c>
      <c r="J20" s="134">
        <v>0.05</v>
      </c>
      <c r="K20" s="134">
        <v>0.05</v>
      </c>
      <c r="L20" s="134">
        <v>0.05</v>
      </c>
      <c r="M20" s="134">
        <v>0.05</v>
      </c>
      <c r="N20" s="134">
        <v>0.05</v>
      </c>
      <c r="O20" s="134">
        <v>0.05</v>
      </c>
      <c r="P20" s="134">
        <v>0.05</v>
      </c>
      <c r="Q20" s="71"/>
      <c r="R20" s="71"/>
      <c r="S20" s="71"/>
      <c r="T20" s="160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 t="s">
        <v>727</v>
      </c>
      <c r="AF20" s="71"/>
      <c r="AG20" s="71"/>
      <c r="AH20" s="71"/>
      <c r="AI20" s="71"/>
      <c r="AJ20" s="71"/>
    </row>
    <row r="21" spans="1:36" x14ac:dyDescent="0.25">
      <c r="A21" s="133"/>
      <c r="B21" s="182"/>
      <c r="C21" s="193"/>
      <c r="D21" s="133"/>
      <c r="E21" s="71"/>
      <c r="F21" s="134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71"/>
      <c r="R21" s="71"/>
      <c r="S21" s="71"/>
      <c r="T21" s="160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</row>
    <row r="22" spans="1:36" ht="15.75" thickBot="1" x14ac:dyDescent="0.3">
      <c r="A22" s="132"/>
      <c r="B22" s="179"/>
      <c r="C22" s="192"/>
      <c r="D22" s="132"/>
      <c r="E22" s="7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71"/>
      <c r="R22" s="132"/>
      <c r="S22" s="71"/>
      <c r="T22" s="160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</row>
    <row r="23" spans="1:36" ht="7.15" customHeight="1" x14ac:dyDescent="0.25">
      <c r="A23" s="89"/>
      <c r="B23" s="180"/>
      <c r="C23" s="89"/>
      <c r="D23" s="89"/>
      <c r="E23" s="71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71"/>
      <c r="R23" s="71"/>
      <c r="S23" s="71"/>
      <c r="T23" s="160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</row>
    <row r="24" spans="1:36" s="13" customFormat="1" ht="15.75" x14ac:dyDescent="0.25">
      <c r="A24" s="830" t="s">
        <v>740</v>
      </c>
      <c r="B24" s="831"/>
      <c r="C24" s="832"/>
      <c r="D24" s="129"/>
      <c r="E24" s="123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71"/>
      <c r="R24" s="129"/>
      <c r="S24" s="71"/>
      <c r="T24" s="160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</row>
    <row r="25" spans="1:36" ht="24.95" customHeight="1" x14ac:dyDescent="0.25">
      <c r="A25" s="149"/>
      <c r="B25" s="178" t="s">
        <v>184</v>
      </c>
      <c r="C25" s="191" t="s">
        <v>183</v>
      </c>
      <c r="D25" s="131"/>
      <c r="E25" s="71"/>
      <c r="F25" s="135">
        <v>91</v>
      </c>
      <c r="G25" s="135">
        <v>91</v>
      </c>
      <c r="H25" s="135">
        <v>91</v>
      </c>
      <c r="I25" s="135">
        <v>91</v>
      </c>
      <c r="J25" s="135">
        <v>91</v>
      </c>
      <c r="K25" s="135">
        <v>91</v>
      </c>
      <c r="L25" s="135">
        <v>91</v>
      </c>
      <c r="M25" s="135">
        <v>91</v>
      </c>
      <c r="N25" s="135">
        <v>91</v>
      </c>
      <c r="O25" s="135">
        <v>91</v>
      </c>
      <c r="P25" s="135">
        <v>91</v>
      </c>
      <c r="Q25" s="71"/>
      <c r="R25" s="71"/>
      <c r="S25" s="71"/>
      <c r="T25" s="16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</row>
    <row r="26" spans="1:36" ht="24.95" customHeight="1" x14ac:dyDescent="0.25">
      <c r="A26" s="149"/>
      <c r="B26" s="178" t="s">
        <v>185</v>
      </c>
      <c r="C26" s="191" t="s">
        <v>182</v>
      </c>
      <c r="D26" s="131"/>
      <c r="E26" s="71"/>
      <c r="F26" s="135">
        <v>100</v>
      </c>
      <c r="G26" s="135">
        <v>100</v>
      </c>
      <c r="H26" s="135">
        <v>100</v>
      </c>
      <c r="I26" s="135">
        <v>100</v>
      </c>
      <c r="J26" s="135">
        <v>100</v>
      </c>
      <c r="K26" s="135">
        <v>100</v>
      </c>
      <c r="L26" s="135">
        <v>100</v>
      </c>
      <c r="M26" s="135">
        <v>100</v>
      </c>
      <c r="N26" s="135">
        <v>100</v>
      </c>
      <c r="O26" s="135">
        <v>100</v>
      </c>
      <c r="P26" s="135">
        <v>100</v>
      </c>
      <c r="Q26" s="71"/>
      <c r="R26" s="71"/>
      <c r="S26" s="71"/>
      <c r="T26" s="160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1:36" ht="24.95" customHeight="1" x14ac:dyDescent="0.25">
      <c r="A27" s="133"/>
      <c r="B27" s="178" t="s">
        <v>804</v>
      </c>
      <c r="C27" s="191" t="s">
        <v>805</v>
      </c>
      <c r="D27" s="133"/>
      <c r="E27" s="71"/>
      <c r="F27" s="136">
        <v>12.7</v>
      </c>
      <c r="G27" s="136">
        <v>12.7</v>
      </c>
      <c r="H27" s="136">
        <v>12.7</v>
      </c>
      <c r="I27" s="136">
        <v>12.7</v>
      </c>
      <c r="J27" s="136">
        <v>12.7</v>
      </c>
      <c r="K27" s="136">
        <v>12.7</v>
      </c>
      <c r="L27" s="136">
        <v>12.7</v>
      </c>
      <c r="M27" s="136">
        <v>12.7</v>
      </c>
      <c r="N27" s="136">
        <v>12.7</v>
      </c>
      <c r="O27" s="136">
        <v>12.7</v>
      </c>
      <c r="P27" s="136">
        <v>12.7</v>
      </c>
      <c r="Q27" s="71"/>
      <c r="R27" s="71"/>
      <c r="S27" s="71"/>
      <c r="T27" s="160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1:36" ht="15.75" thickBot="1" x14ac:dyDescent="0.3">
      <c r="A28" s="132"/>
      <c r="B28" s="179"/>
      <c r="C28" s="192"/>
      <c r="D28" s="132"/>
      <c r="E28" s="7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71"/>
      <c r="R28" s="132"/>
      <c r="S28" s="71"/>
      <c r="T28" s="160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</row>
    <row r="29" spans="1:36" ht="7.15" customHeight="1" x14ac:dyDescent="0.25">
      <c r="A29" s="89"/>
      <c r="B29" s="180"/>
      <c r="C29" s="89"/>
      <c r="D29" s="89"/>
      <c r="E29" s="71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71"/>
      <c r="R29" s="71"/>
      <c r="S29" s="71"/>
      <c r="T29" s="160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</row>
    <row r="30" spans="1:36" s="13" customFormat="1" ht="30" x14ac:dyDescent="0.25">
      <c r="A30" s="836" t="s">
        <v>741</v>
      </c>
      <c r="B30" s="837"/>
      <c r="C30" s="838"/>
      <c r="D30" s="129"/>
      <c r="E30" s="123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71"/>
      <c r="R30" s="129"/>
      <c r="S30" s="71"/>
      <c r="T30" s="160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69" t="s">
        <v>301</v>
      </c>
      <c r="AF30" s="71"/>
      <c r="AG30" s="71"/>
      <c r="AH30" s="71"/>
      <c r="AI30" s="71"/>
      <c r="AJ30" s="71"/>
    </row>
    <row r="31" spans="1:36" x14ac:dyDescent="0.25">
      <c r="A31" s="149"/>
      <c r="B31" s="183" t="s">
        <v>806</v>
      </c>
      <c r="C31" s="191" t="s">
        <v>27</v>
      </c>
      <c r="D31" s="200" t="s">
        <v>134</v>
      </c>
      <c r="E31" s="71"/>
      <c r="F31" s="137">
        <v>0.2</v>
      </c>
      <c r="G31" s="137">
        <f>F31</f>
        <v>0.2</v>
      </c>
      <c r="H31" s="137">
        <f t="shared" ref="H31:P31" si="3">G31</f>
        <v>0.2</v>
      </c>
      <c r="I31" s="137">
        <f t="shared" si="3"/>
        <v>0.2</v>
      </c>
      <c r="J31" s="137">
        <f t="shared" si="3"/>
        <v>0.2</v>
      </c>
      <c r="K31" s="137">
        <f t="shared" si="3"/>
        <v>0.2</v>
      </c>
      <c r="L31" s="137">
        <f t="shared" si="3"/>
        <v>0.2</v>
      </c>
      <c r="M31" s="137">
        <f t="shared" si="3"/>
        <v>0.2</v>
      </c>
      <c r="N31" s="137">
        <f t="shared" si="3"/>
        <v>0.2</v>
      </c>
      <c r="O31" s="137">
        <f t="shared" si="3"/>
        <v>0.2</v>
      </c>
      <c r="P31" s="137">
        <f t="shared" si="3"/>
        <v>0.2</v>
      </c>
      <c r="Q31" s="71"/>
      <c r="R31" s="71"/>
      <c r="S31" s="71"/>
      <c r="T31" s="160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</row>
    <row r="32" spans="1:36" x14ac:dyDescent="0.25">
      <c r="A32" s="149"/>
      <c r="B32" s="178"/>
      <c r="C32" s="191"/>
      <c r="D32" s="137"/>
      <c r="E32" s="71"/>
      <c r="F32" s="137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71"/>
      <c r="R32" s="71"/>
      <c r="S32" s="71"/>
      <c r="T32" s="160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</row>
    <row r="33" spans="1:31" s="6" customFormat="1" ht="29.25" x14ac:dyDescent="0.25">
      <c r="A33" s="173"/>
      <c r="B33" s="183" t="s">
        <v>597</v>
      </c>
      <c r="C33" s="194" t="s">
        <v>27</v>
      </c>
      <c r="D33" s="201" t="s">
        <v>134</v>
      </c>
      <c r="E33" s="124"/>
      <c r="F33" s="138">
        <f>SUM(F34:F35)</f>
        <v>0.2</v>
      </c>
      <c r="G33" s="138">
        <f t="shared" ref="G33:P33" si="4">SUM(G34:G35)</f>
        <v>0.2</v>
      </c>
      <c r="H33" s="138">
        <f t="shared" si="4"/>
        <v>0.2</v>
      </c>
      <c r="I33" s="138">
        <f t="shared" si="4"/>
        <v>0.2</v>
      </c>
      <c r="J33" s="138">
        <f t="shared" si="4"/>
        <v>0.2</v>
      </c>
      <c r="K33" s="138">
        <f t="shared" si="4"/>
        <v>0.2</v>
      </c>
      <c r="L33" s="138">
        <f t="shared" si="4"/>
        <v>0.2</v>
      </c>
      <c r="M33" s="138">
        <f t="shared" si="4"/>
        <v>0.2</v>
      </c>
      <c r="N33" s="138">
        <f t="shared" si="4"/>
        <v>0.2</v>
      </c>
      <c r="O33" s="138">
        <f t="shared" si="4"/>
        <v>0.2</v>
      </c>
      <c r="P33" s="138">
        <f t="shared" si="4"/>
        <v>0.2</v>
      </c>
      <c r="Q33" s="124"/>
      <c r="R33" s="124"/>
      <c r="S33" s="124"/>
      <c r="T33" s="161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</row>
    <row r="34" spans="1:31" x14ac:dyDescent="0.25">
      <c r="A34" s="174"/>
      <c r="B34" s="178" t="s">
        <v>598</v>
      </c>
      <c r="C34" s="191" t="s">
        <v>27</v>
      </c>
      <c r="D34" s="200"/>
      <c r="E34" s="71"/>
      <c r="F34" s="137">
        <v>0.03</v>
      </c>
      <c r="G34" s="137">
        <v>0.03</v>
      </c>
      <c r="H34" s="137">
        <v>0.03</v>
      </c>
      <c r="I34" s="137">
        <v>0.03</v>
      </c>
      <c r="J34" s="137">
        <v>0.03</v>
      </c>
      <c r="K34" s="137">
        <v>0.03</v>
      </c>
      <c r="L34" s="137">
        <v>0.03</v>
      </c>
      <c r="M34" s="137">
        <v>0.03</v>
      </c>
      <c r="N34" s="137">
        <v>0.03</v>
      </c>
      <c r="O34" s="137">
        <v>0.03</v>
      </c>
      <c r="P34" s="137">
        <v>0.03</v>
      </c>
      <c r="Q34" s="71"/>
      <c r="R34" s="71"/>
      <c r="S34" s="71"/>
      <c r="T34" s="160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 x14ac:dyDescent="0.25">
      <c r="A35" s="174"/>
      <c r="B35" s="178" t="s">
        <v>599</v>
      </c>
      <c r="C35" s="191" t="s">
        <v>27</v>
      </c>
      <c r="D35" s="200"/>
      <c r="E35" s="71"/>
      <c r="F35" s="137">
        <v>0.17</v>
      </c>
      <c r="G35" s="137">
        <v>0.17</v>
      </c>
      <c r="H35" s="137">
        <v>0.17</v>
      </c>
      <c r="I35" s="137">
        <v>0.17</v>
      </c>
      <c r="J35" s="137">
        <v>0.17</v>
      </c>
      <c r="K35" s="137">
        <v>0.17</v>
      </c>
      <c r="L35" s="137">
        <v>0.17</v>
      </c>
      <c r="M35" s="137">
        <v>0.17</v>
      </c>
      <c r="N35" s="137">
        <v>0.17</v>
      </c>
      <c r="O35" s="137">
        <v>0.17</v>
      </c>
      <c r="P35" s="137">
        <v>0.17</v>
      </c>
      <c r="Q35" s="71"/>
      <c r="R35" s="71"/>
      <c r="S35" s="71"/>
      <c r="T35" s="160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</row>
    <row r="36" spans="1:31" x14ac:dyDescent="0.25">
      <c r="A36" s="174"/>
      <c r="B36" s="178"/>
      <c r="C36" s="191"/>
      <c r="D36" s="200"/>
      <c r="E36" s="71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71"/>
      <c r="R36" s="71"/>
      <c r="S36" s="71"/>
      <c r="T36" s="160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</row>
    <row r="37" spans="1:31" s="6" customFormat="1" ht="43.5" x14ac:dyDescent="0.25">
      <c r="A37" s="174"/>
      <c r="B37" s="183" t="s">
        <v>600</v>
      </c>
      <c r="C37" s="194" t="s">
        <v>27</v>
      </c>
      <c r="D37" s="138"/>
      <c r="E37" s="124"/>
      <c r="F37" s="138">
        <f t="shared" ref="F37:P37" si="5">SUM(F38:F39)</f>
        <v>0.02</v>
      </c>
      <c r="G37" s="138">
        <f t="shared" si="5"/>
        <v>0.02</v>
      </c>
      <c r="H37" s="138">
        <f t="shared" si="5"/>
        <v>0.02</v>
      </c>
      <c r="I37" s="138">
        <f t="shared" si="5"/>
        <v>0.02</v>
      </c>
      <c r="J37" s="138">
        <f t="shared" si="5"/>
        <v>0.02</v>
      </c>
      <c r="K37" s="138">
        <f t="shared" si="5"/>
        <v>0.02</v>
      </c>
      <c r="L37" s="138">
        <f t="shared" si="5"/>
        <v>0.02</v>
      </c>
      <c r="M37" s="138">
        <f t="shared" si="5"/>
        <v>0.02</v>
      </c>
      <c r="N37" s="138">
        <f t="shared" si="5"/>
        <v>7.0000000000000007E-2</v>
      </c>
      <c r="O37" s="138">
        <f t="shared" si="5"/>
        <v>7.0000000000000007E-2</v>
      </c>
      <c r="P37" s="138">
        <f t="shared" si="5"/>
        <v>7.0000000000000007E-2</v>
      </c>
      <c r="Q37" s="124"/>
      <c r="R37" s="71"/>
      <c r="S37" s="124"/>
      <c r="T37" s="161"/>
      <c r="U37" s="138">
        <f>SUM(U38:U39)</f>
        <v>7.0000000000000007E-2</v>
      </c>
      <c r="V37" s="138">
        <f>SUM(V38:V39)</f>
        <v>7.0000000000000007E-2</v>
      </c>
      <c r="W37" s="141">
        <f>SUM(W38:W39)</f>
        <v>0.155</v>
      </c>
      <c r="X37" s="124"/>
      <c r="Y37" s="124"/>
      <c r="Z37" s="124"/>
      <c r="AA37" s="124"/>
      <c r="AB37" s="124"/>
      <c r="AC37" s="124"/>
      <c r="AD37" s="124"/>
      <c r="AE37" s="170" t="s">
        <v>612</v>
      </c>
    </row>
    <row r="38" spans="1:31" x14ac:dyDescent="0.25">
      <c r="A38" s="149"/>
      <c r="B38" s="178" t="s">
        <v>598</v>
      </c>
      <c r="C38" s="191" t="s">
        <v>27</v>
      </c>
      <c r="D38" s="137"/>
      <c r="E38" s="71"/>
      <c r="F38" s="139">
        <v>0.02</v>
      </c>
      <c r="G38" s="139">
        <v>0.02</v>
      </c>
      <c r="H38" s="139">
        <v>0.02</v>
      </c>
      <c r="I38" s="137">
        <v>0.02</v>
      </c>
      <c r="J38" s="137">
        <v>0.02</v>
      </c>
      <c r="K38" s="137">
        <v>0.02</v>
      </c>
      <c r="L38" s="137">
        <v>0.02</v>
      </c>
      <c r="M38" s="137">
        <v>0.02</v>
      </c>
      <c r="N38" s="137">
        <v>0.02</v>
      </c>
      <c r="O38" s="137">
        <v>0.02</v>
      </c>
      <c r="P38" s="137">
        <v>0.02</v>
      </c>
      <c r="Q38" s="71"/>
      <c r="R38" s="71"/>
      <c r="S38" s="71"/>
      <c r="T38" s="160"/>
      <c r="U38" s="137">
        <v>0.02</v>
      </c>
      <c r="V38" s="137">
        <v>0.02</v>
      </c>
      <c r="W38" s="131">
        <v>0.02</v>
      </c>
      <c r="X38" s="71"/>
      <c r="Y38" s="71"/>
      <c r="Z38" s="71"/>
      <c r="AA38" s="71"/>
      <c r="AB38" s="71"/>
      <c r="AC38" s="71"/>
      <c r="AD38" s="71"/>
      <c r="AE38" s="71"/>
    </row>
    <row r="39" spans="1:31" x14ac:dyDescent="0.25">
      <c r="A39" s="149"/>
      <c r="B39" s="178" t="s">
        <v>599</v>
      </c>
      <c r="C39" s="191" t="s">
        <v>27</v>
      </c>
      <c r="D39" s="137"/>
      <c r="E39" s="71"/>
      <c r="F39" s="137">
        <v>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137">
        <v>0.05</v>
      </c>
      <c r="O39" s="137">
        <v>0.05</v>
      </c>
      <c r="P39" s="137">
        <v>0.05</v>
      </c>
      <c r="Q39" s="71"/>
      <c r="R39" s="71"/>
      <c r="S39" s="71"/>
      <c r="T39" s="160"/>
      <c r="U39" s="137">
        <v>0.05</v>
      </c>
      <c r="V39" s="137">
        <v>0.05</v>
      </c>
      <c r="W39" s="131">
        <v>0.13500000000000001</v>
      </c>
      <c r="X39" s="71"/>
      <c r="Y39" s="71"/>
      <c r="Z39" s="71"/>
      <c r="AA39" s="71"/>
      <c r="AB39" s="71"/>
      <c r="AC39" s="71"/>
      <c r="AD39" s="71"/>
      <c r="AE39" s="71" t="s">
        <v>601</v>
      </c>
    </row>
    <row r="40" spans="1:31" x14ac:dyDescent="0.25">
      <c r="A40" s="149"/>
      <c r="B40" s="178"/>
      <c r="C40" s="191"/>
      <c r="D40" s="137"/>
      <c r="E40" s="71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71"/>
      <c r="R40" s="71"/>
      <c r="S40" s="71"/>
      <c r="T40" s="160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</row>
    <row r="41" spans="1:31" x14ac:dyDescent="0.25">
      <c r="A41" s="149"/>
      <c r="B41" s="178" t="s">
        <v>605</v>
      </c>
      <c r="C41" s="191"/>
      <c r="D41" s="137"/>
      <c r="E41" s="71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71"/>
      <c r="R41" s="71"/>
      <c r="S41" s="71"/>
      <c r="T41" s="160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</row>
    <row r="42" spans="1:31" x14ac:dyDescent="0.25">
      <c r="A42" s="149"/>
      <c r="B42" s="178" t="s">
        <v>604</v>
      </c>
      <c r="C42" s="191" t="s">
        <v>27</v>
      </c>
      <c r="D42" s="137"/>
      <c r="E42" s="71"/>
      <c r="F42" s="137">
        <v>0.06</v>
      </c>
      <c r="G42" s="137">
        <v>0.06</v>
      </c>
      <c r="H42" s="137">
        <v>0.06</v>
      </c>
      <c r="I42" s="137">
        <v>0.06</v>
      </c>
      <c r="J42" s="137">
        <v>0.06</v>
      </c>
      <c r="K42" s="137">
        <v>0.06</v>
      </c>
      <c r="L42" s="137">
        <v>0.06</v>
      </c>
      <c r="M42" s="137">
        <v>0.06</v>
      </c>
      <c r="N42" s="137">
        <v>0.06</v>
      </c>
      <c r="O42" s="137">
        <v>0.06</v>
      </c>
      <c r="P42" s="137">
        <v>0.06</v>
      </c>
      <c r="Q42" s="71"/>
      <c r="R42" s="71"/>
      <c r="S42" s="71"/>
      <c r="T42" s="160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</row>
    <row r="43" spans="1:31" ht="30" x14ac:dyDescent="0.25">
      <c r="A43" s="149"/>
      <c r="B43" s="178" t="s">
        <v>608</v>
      </c>
      <c r="C43" s="191" t="s">
        <v>27</v>
      </c>
      <c r="D43" s="137"/>
      <c r="E43" s="71"/>
      <c r="F43" s="137">
        <v>0</v>
      </c>
      <c r="G43" s="137">
        <v>0</v>
      </c>
      <c r="H43" s="137">
        <v>0</v>
      </c>
      <c r="I43" s="137">
        <v>0.01</v>
      </c>
      <c r="J43" s="137">
        <v>0.01</v>
      </c>
      <c r="K43" s="137">
        <v>0.01</v>
      </c>
      <c r="L43" s="137">
        <v>0.01</v>
      </c>
      <c r="M43" s="137">
        <v>0.01</v>
      </c>
      <c r="N43" s="137">
        <v>0.01</v>
      </c>
      <c r="O43" s="137">
        <v>0.01</v>
      </c>
      <c r="P43" s="137">
        <v>0.01</v>
      </c>
      <c r="Q43" s="71"/>
      <c r="R43" s="71"/>
      <c r="S43" s="71"/>
      <c r="T43" s="160"/>
      <c r="U43" s="137">
        <v>0.01</v>
      </c>
      <c r="V43" s="137">
        <v>0.01</v>
      </c>
      <c r="W43" s="71"/>
      <c r="X43" s="71"/>
      <c r="Y43" s="71"/>
      <c r="Z43" s="71"/>
      <c r="AA43" s="71"/>
      <c r="AB43" s="71"/>
      <c r="AC43" s="71"/>
      <c r="AD43" s="71"/>
      <c r="AE43" s="71" t="s">
        <v>601</v>
      </c>
    </row>
    <row r="44" spans="1:31" x14ac:dyDescent="0.25">
      <c r="A44" s="149"/>
      <c r="B44" s="178"/>
      <c r="C44" s="191"/>
      <c r="D44" s="137"/>
      <c r="E44" s="71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71"/>
      <c r="R44" s="71"/>
      <c r="S44" s="71"/>
      <c r="T44" s="160"/>
      <c r="U44" s="165"/>
      <c r="V44" s="165"/>
      <c r="W44" s="71"/>
      <c r="X44" s="71"/>
      <c r="Y44" s="71"/>
      <c r="Z44" s="71"/>
      <c r="AA44" s="71"/>
      <c r="AB44" s="71"/>
      <c r="AC44" s="71"/>
      <c r="AD44" s="71"/>
      <c r="AE44" s="71"/>
    </row>
    <row r="45" spans="1:31" ht="30" x14ac:dyDescent="0.25">
      <c r="A45" s="149"/>
      <c r="B45" s="178" t="s">
        <v>606</v>
      </c>
      <c r="C45" s="191" t="s">
        <v>27</v>
      </c>
      <c r="D45" s="137"/>
      <c r="E45" s="71"/>
      <c r="F45" s="137">
        <v>0.15</v>
      </c>
      <c r="G45" s="137">
        <v>0.15</v>
      </c>
      <c r="H45" s="137">
        <v>0.15</v>
      </c>
      <c r="I45" s="137">
        <v>0.15</v>
      </c>
      <c r="J45" s="137">
        <v>0.15</v>
      </c>
      <c r="K45" s="137">
        <v>0.15</v>
      </c>
      <c r="L45" s="137">
        <v>0.15</v>
      </c>
      <c r="M45" s="137">
        <v>0.15</v>
      </c>
      <c r="N45" s="137">
        <v>0.15</v>
      </c>
      <c r="O45" s="137">
        <v>0.15</v>
      </c>
      <c r="P45" s="137">
        <v>0.15</v>
      </c>
      <c r="Q45" s="71"/>
      <c r="R45" s="71"/>
      <c r="S45" s="71"/>
      <c r="T45" s="160"/>
      <c r="U45" s="165"/>
      <c r="V45" s="165"/>
      <c r="W45" s="71"/>
      <c r="X45" s="71"/>
      <c r="Y45" s="71"/>
      <c r="Z45" s="71"/>
      <c r="AA45" s="71"/>
      <c r="AB45" s="71"/>
      <c r="AC45" s="71"/>
      <c r="AD45" s="71"/>
      <c r="AE45" s="71"/>
    </row>
    <row r="46" spans="1:31" ht="30" x14ac:dyDescent="0.25">
      <c r="A46" s="149"/>
      <c r="B46" s="178" t="s">
        <v>607</v>
      </c>
      <c r="C46" s="191" t="s">
        <v>27</v>
      </c>
      <c r="D46" s="137"/>
      <c r="E46" s="71"/>
      <c r="F46" s="137">
        <v>0</v>
      </c>
      <c r="G46" s="137">
        <v>0</v>
      </c>
      <c r="H46" s="137">
        <v>0</v>
      </c>
      <c r="I46" s="137">
        <v>0.05</v>
      </c>
      <c r="J46" s="137">
        <v>0.05</v>
      </c>
      <c r="K46" s="137">
        <v>0.05</v>
      </c>
      <c r="L46" s="137">
        <v>0.05</v>
      </c>
      <c r="M46" s="137">
        <v>0.05</v>
      </c>
      <c r="N46" s="137">
        <v>0.05</v>
      </c>
      <c r="O46" s="137">
        <v>0.05</v>
      </c>
      <c r="P46" s="137">
        <v>0.05</v>
      </c>
      <c r="Q46" s="71"/>
      <c r="R46" s="71"/>
      <c r="S46" s="71"/>
      <c r="T46" s="160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</row>
    <row r="47" spans="1:31" x14ac:dyDescent="0.25">
      <c r="A47" s="149"/>
      <c r="B47" s="178"/>
      <c r="C47" s="191"/>
      <c r="D47" s="137"/>
      <c r="E47" s="71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71"/>
      <c r="R47" s="71"/>
      <c r="S47" s="71"/>
      <c r="T47" s="160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</row>
    <row r="48" spans="1:31" x14ac:dyDescent="0.25">
      <c r="A48" s="149"/>
      <c r="B48" s="178"/>
      <c r="C48" s="191"/>
      <c r="D48" s="137"/>
      <c r="E48" s="71"/>
      <c r="F48" s="137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71"/>
      <c r="R48" s="71"/>
      <c r="S48" s="71"/>
      <c r="T48" s="160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1:36" ht="30" x14ac:dyDescent="0.25">
      <c r="A49" s="149"/>
      <c r="B49" s="178" t="s">
        <v>300</v>
      </c>
      <c r="C49" s="191" t="s">
        <v>27</v>
      </c>
      <c r="D49" s="134"/>
      <c r="E49" s="71"/>
      <c r="F49" s="131">
        <v>2.1999999999999999E-2</v>
      </c>
      <c r="G49" s="131">
        <v>2.1999999999999999E-2</v>
      </c>
      <c r="H49" s="131">
        <v>2.1999999999999999E-2</v>
      </c>
      <c r="I49" s="131">
        <v>2.1999999999999999E-2</v>
      </c>
      <c r="J49" s="131">
        <v>2.1999999999999999E-2</v>
      </c>
      <c r="K49" s="131">
        <v>2.1999999999999999E-2</v>
      </c>
      <c r="L49" s="131">
        <v>2.1999999999999999E-2</v>
      </c>
      <c r="M49" s="131">
        <v>2.1999999999999999E-2</v>
      </c>
      <c r="N49" s="131">
        <v>2.1999999999999999E-2</v>
      </c>
      <c r="O49" s="131">
        <v>2.1999999999999999E-2</v>
      </c>
      <c r="P49" s="131">
        <v>2.1999999999999999E-2</v>
      </c>
      <c r="Q49" s="71"/>
      <c r="R49" s="71"/>
      <c r="S49" s="71"/>
      <c r="T49" s="160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6" x14ac:dyDescent="0.25">
      <c r="A50" s="149"/>
      <c r="B50" s="178" t="s">
        <v>904</v>
      </c>
      <c r="C50" s="191" t="s">
        <v>27</v>
      </c>
      <c r="D50" s="134"/>
      <c r="E50" s="71"/>
      <c r="F50" s="131">
        <v>0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2.1999999999999999E-2</v>
      </c>
      <c r="Q50" s="71"/>
      <c r="R50" s="71"/>
      <c r="S50" s="71"/>
      <c r="T50" s="160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7" t="s">
        <v>602</v>
      </c>
      <c r="AF50" s="71"/>
      <c r="AG50" s="71"/>
      <c r="AH50" s="71"/>
      <c r="AI50" s="71"/>
      <c r="AJ50" s="71"/>
    </row>
    <row r="51" spans="1:36" x14ac:dyDescent="0.25">
      <c r="A51" s="149"/>
      <c r="B51" s="178"/>
      <c r="C51" s="191"/>
      <c r="D51" s="134"/>
      <c r="E51" s="7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71"/>
      <c r="R51" s="71"/>
      <c r="S51" s="71"/>
      <c r="T51" s="160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7"/>
      <c r="AF51" s="71"/>
      <c r="AG51" s="71"/>
      <c r="AH51" s="71"/>
      <c r="AI51" s="71"/>
      <c r="AJ51" s="71"/>
    </row>
    <row r="52" spans="1:36" x14ac:dyDescent="0.25">
      <c r="A52" s="149"/>
      <c r="B52" s="178" t="s">
        <v>302</v>
      </c>
      <c r="C52" s="191" t="s">
        <v>27</v>
      </c>
      <c r="D52" s="134"/>
      <c r="E52" s="71"/>
      <c r="F52" s="131">
        <v>1.4999999999999999E-2</v>
      </c>
      <c r="G52" s="131">
        <v>1.4999999999999999E-2</v>
      </c>
      <c r="H52" s="131">
        <v>1.4999999999999999E-2</v>
      </c>
      <c r="I52" s="131">
        <v>1.4999999999999999E-2</v>
      </c>
      <c r="J52" s="131">
        <v>1.4999999999999999E-2</v>
      </c>
      <c r="K52" s="131">
        <v>1.4999999999999999E-2</v>
      </c>
      <c r="L52" s="131">
        <v>1.4999999999999999E-2</v>
      </c>
      <c r="M52" s="131">
        <v>1.4999999999999999E-2</v>
      </c>
      <c r="N52" s="131">
        <v>1.4999999999999999E-2</v>
      </c>
      <c r="O52" s="131">
        <v>1.4999999999999999E-2</v>
      </c>
      <c r="P52" s="131">
        <v>1.4999999999999999E-2</v>
      </c>
      <c r="Q52" s="71"/>
      <c r="R52" s="71"/>
      <c r="S52" s="71"/>
      <c r="T52" s="160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7"/>
      <c r="AF52" s="71"/>
      <c r="AG52" s="71"/>
      <c r="AH52" s="71"/>
      <c r="AI52" s="71"/>
      <c r="AJ52" s="71"/>
    </row>
    <row r="53" spans="1:36" ht="30" x14ac:dyDescent="0.25">
      <c r="A53" s="149"/>
      <c r="B53" s="178" t="s">
        <v>905</v>
      </c>
      <c r="C53" s="191" t="s">
        <v>27</v>
      </c>
      <c r="D53" s="134"/>
      <c r="E53" s="71"/>
      <c r="F53" s="131">
        <v>0</v>
      </c>
      <c r="G53" s="131">
        <v>0</v>
      </c>
      <c r="H53" s="131">
        <v>0</v>
      </c>
      <c r="I53" s="131">
        <v>0</v>
      </c>
      <c r="J53" s="131">
        <v>0</v>
      </c>
      <c r="K53" s="131">
        <v>1.4999999999999999E-2</v>
      </c>
      <c r="L53" s="131">
        <v>1.4999999999999999E-2</v>
      </c>
      <c r="M53" s="131">
        <v>1.4999999999999999E-2</v>
      </c>
      <c r="N53" s="131">
        <v>1.4999999999999999E-2</v>
      </c>
      <c r="O53" s="131">
        <v>1.4999999999999999E-2</v>
      </c>
      <c r="P53" s="131">
        <v>1.4999999999999999E-2</v>
      </c>
      <c r="Q53" s="71"/>
      <c r="R53" s="71"/>
      <c r="S53" s="71"/>
      <c r="T53" s="160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7" t="s">
        <v>603</v>
      </c>
      <c r="AF53" s="71"/>
      <c r="AG53" s="71"/>
      <c r="AH53" s="71"/>
      <c r="AI53" s="71"/>
      <c r="AJ53" s="71"/>
    </row>
    <row r="54" spans="1:36" x14ac:dyDescent="0.25">
      <c r="A54" s="149"/>
      <c r="B54" s="178"/>
      <c r="C54" s="191"/>
      <c r="D54" s="134"/>
      <c r="E54" s="71"/>
      <c r="F54" s="137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71"/>
      <c r="R54" s="71"/>
      <c r="S54" s="71"/>
      <c r="T54" s="160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 ht="30" x14ac:dyDescent="0.25">
      <c r="A55" s="149"/>
      <c r="B55" s="178" t="s">
        <v>304</v>
      </c>
      <c r="C55" s="191" t="s">
        <v>27</v>
      </c>
      <c r="D55" s="134"/>
      <c r="E55" s="71"/>
      <c r="F55" s="131">
        <v>0.02</v>
      </c>
      <c r="G55" s="131">
        <v>0.02</v>
      </c>
      <c r="H55" s="131">
        <v>0.02</v>
      </c>
      <c r="I55" s="131">
        <v>0.02</v>
      </c>
      <c r="J55" s="131">
        <v>0.02</v>
      </c>
      <c r="K55" s="131">
        <v>0.02</v>
      </c>
      <c r="L55" s="131">
        <v>0.02</v>
      </c>
      <c r="M55" s="131">
        <v>0.02</v>
      </c>
      <c r="N55" s="131">
        <v>0.02</v>
      </c>
      <c r="O55" s="131">
        <v>0.02</v>
      </c>
      <c r="P55" s="131">
        <v>0.02</v>
      </c>
      <c r="Q55" s="71"/>
      <c r="R55" s="71"/>
      <c r="S55" s="71"/>
      <c r="T55" s="160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 x14ac:dyDescent="0.25">
      <c r="A56" s="149"/>
      <c r="B56" s="178"/>
      <c r="C56" s="191"/>
      <c r="D56" s="134"/>
      <c r="E56" s="71"/>
      <c r="F56" s="137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71"/>
      <c r="R56" s="71"/>
      <c r="S56" s="71"/>
      <c r="T56" s="160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 s="13" customFormat="1" ht="15.75" x14ac:dyDescent="0.25">
      <c r="A57" s="836" t="s">
        <v>807</v>
      </c>
      <c r="B57" s="837"/>
      <c r="C57" s="838"/>
      <c r="D57" s="129"/>
      <c r="E57" s="123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71"/>
      <c r="R57" s="129"/>
      <c r="S57" s="71"/>
      <c r="T57" s="160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 ht="9.6" customHeight="1" x14ac:dyDescent="0.25">
      <c r="A58" s="149"/>
      <c r="B58" s="178"/>
      <c r="C58" s="191"/>
      <c r="D58" s="134"/>
      <c r="E58" s="71"/>
      <c r="F58" s="137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71"/>
      <c r="R58" s="71"/>
      <c r="S58" s="71"/>
      <c r="T58" s="160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 x14ac:dyDescent="0.25">
      <c r="A59" s="149"/>
      <c r="B59" s="178" t="s">
        <v>127</v>
      </c>
      <c r="C59" s="191" t="s">
        <v>27</v>
      </c>
      <c r="D59" s="200" t="s">
        <v>134</v>
      </c>
      <c r="E59" s="71"/>
      <c r="F59" s="131">
        <v>0.30399999999999999</v>
      </c>
      <c r="G59" s="131">
        <v>0.30399999999999999</v>
      </c>
      <c r="H59" s="131">
        <v>0.30399999999999999</v>
      </c>
      <c r="I59" s="131">
        <v>0.30399999999999999</v>
      </c>
      <c r="J59" s="131">
        <v>0.30399999999999999</v>
      </c>
      <c r="K59" s="131">
        <v>0.30399999999999999</v>
      </c>
      <c r="L59" s="131">
        <v>0.30399999999999999</v>
      </c>
      <c r="M59" s="131">
        <v>0.30399999999999999</v>
      </c>
      <c r="N59" s="131">
        <v>0.30399999999999999</v>
      </c>
      <c r="O59" s="131">
        <v>0.30399999999999999</v>
      </c>
      <c r="P59" s="131">
        <v>0.30399999999999999</v>
      </c>
      <c r="Q59" s="71"/>
      <c r="R59" s="71"/>
      <c r="S59" s="71"/>
      <c r="T59" s="160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 ht="30" x14ac:dyDescent="0.25">
      <c r="A60" s="149"/>
      <c r="B60" s="178" t="s">
        <v>129</v>
      </c>
      <c r="C60" s="191" t="s">
        <v>27</v>
      </c>
      <c r="D60" s="200" t="s">
        <v>134</v>
      </c>
      <c r="E60" s="71"/>
      <c r="F60" s="131">
        <v>0.151</v>
      </c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71"/>
      <c r="R60" s="71"/>
      <c r="S60" s="71"/>
      <c r="T60" s="160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 ht="30" x14ac:dyDescent="0.25">
      <c r="A61" s="149"/>
      <c r="B61" s="178" t="s">
        <v>128</v>
      </c>
      <c r="C61" s="191" t="s">
        <v>27</v>
      </c>
      <c r="D61" s="200" t="s">
        <v>134</v>
      </c>
      <c r="E61" s="71"/>
      <c r="F61" s="131">
        <v>0.15</v>
      </c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71"/>
      <c r="R61" s="71"/>
      <c r="S61" s="71"/>
      <c r="T61" s="160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 ht="30" x14ac:dyDescent="0.25">
      <c r="A62" s="133"/>
      <c r="B62" s="178" t="s">
        <v>906</v>
      </c>
      <c r="C62" s="193"/>
      <c r="D62" s="200" t="s">
        <v>134</v>
      </c>
      <c r="E62" s="71"/>
      <c r="F62" s="131">
        <v>7.5999999999999998E-2</v>
      </c>
      <c r="G62" s="131">
        <v>7.5999999999999998E-2</v>
      </c>
      <c r="H62" s="131">
        <v>7.5999999999999998E-2</v>
      </c>
      <c r="I62" s="131">
        <v>7.5999999999999998E-2</v>
      </c>
      <c r="J62" s="131">
        <v>7.5999999999999998E-2</v>
      </c>
      <c r="K62" s="131">
        <v>7.5999999999999998E-2</v>
      </c>
      <c r="L62" s="131">
        <v>7.5999999999999998E-2</v>
      </c>
      <c r="M62" s="131">
        <v>7.5999999999999998E-2</v>
      </c>
      <c r="N62" s="131">
        <v>7.5999999999999998E-2</v>
      </c>
      <c r="O62" s="131">
        <v>7.5999999999999998E-2</v>
      </c>
      <c r="P62" s="131">
        <v>0.30399999999999999</v>
      </c>
      <c r="Q62" s="71"/>
      <c r="R62" s="71"/>
      <c r="S62" s="71"/>
      <c r="T62" s="160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7" t="s">
        <v>303</v>
      </c>
      <c r="AF62" s="71" t="s">
        <v>458</v>
      </c>
      <c r="AG62" s="71"/>
      <c r="AH62" s="71"/>
      <c r="AI62" s="71"/>
      <c r="AJ62" s="71"/>
    </row>
    <row r="63" spans="1:36" x14ac:dyDescent="0.25">
      <c r="A63" s="133"/>
      <c r="B63" s="182"/>
      <c r="C63" s="193"/>
      <c r="D63" s="134"/>
      <c r="E63" s="71"/>
      <c r="F63" s="140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71"/>
      <c r="R63" s="71"/>
      <c r="S63" s="71"/>
      <c r="T63" s="160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 ht="29.25" x14ac:dyDescent="0.25">
      <c r="A64" s="133"/>
      <c r="B64" s="183" t="s">
        <v>729</v>
      </c>
      <c r="C64" s="191" t="s">
        <v>27</v>
      </c>
      <c r="D64" s="200" t="s">
        <v>134</v>
      </c>
      <c r="E64" s="71"/>
      <c r="F64" s="141">
        <f>SUM(F65:F66)</f>
        <v>0.13</v>
      </c>
      <c r="G64" s="141">
        <f t="shared" ref="G64:P64" si="6">SUM(G65:G66)</f>
        <v>0.13</v>
      </c>
      <c r="H64" s="141">
        <f t="shared" si="6"/>
        <v>0.13</v>
      </c>
      <c r="I64" s="141">
        <f t="shared" si="6"/>
        <v>0.13</v>
      </c>
      <c r="J64" s="141">
        <f t="shared" si="6"/>
        <v>0.13</v>
      </c>
      <c r="K64" s="141">
        <f t="shared" si="6"/>
        <v>0.13</v>
      </c>
      <c r="L64" s="141">
        <f t="shared" si="6"/>
        <v>0.13</v>
      </c>
      <c r="M64" s="141">
        <f t="shared" si="6"/>
        <v>0.13</v>
      </c>
      <c r="N64" s="141">
        <f t="shared" si="6"/>
        <v>0.13</v>
      </c>
      <c r="O64" s="141">
        <f t="shared" si="6"/>
        <v>0.13</v>
      </c>
      <c r="P64" s="141">
        <f t="shared" si="6"/>
        <v>0.13</v>
      </c>
      <c r="Q64" s="71"/>
      <c r="R64" s="71"/>
      <c r="S64" s="71"/>
      <c r="T64" s="160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 x14ac:dyDescent="0.25">
      <c r="A65" s="133"/>
      <c r="B65" s="178" t="s">
        <v>730</v>
      </c>
      <c r="C65" s="191" t="s">
        <v>27</v>
      </c>
      <c r="D65" s="200"/>
      <c r="E65" s="71"/>
      <c r="F65" s="131">
        <v>0.11</v>
      </c>
      <c r="G65" s="131">
        <v>0.11</v>
      </c>
      <c r="H65" s="131">
        <v>0.11</v>
      </c>
      <c r="I65" s="131">
        <v>0.11</v>
      </c>
      <c r="J65" s="131">
        <v>0.11</v>
      </c>
      <c r="K65" s="131">
        <v>0.11</v>
      </c>
      <c r="L65" s="131">
        <v>0.11</v>
      </c>
      <c r="M65" s="131">
        <v>0.11</v>
      </c>
      <c r="N65" s="131">
        <v>0.11</v>
      </c>
      <c r="O65" s="131">
        <v>0.11</v>
      </c>
      <c r="P65" s="131">
        <v>0.11</v>
      </c>
      <c r="Q65" s="71"/>
      <c r="R65" s="71"/>
      <c r="S65" s="71"/>
      <c r="T65" s="160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 x14ac:dyDescent="0.25">
      <c r="A66" s="133"/>
      <c r="B66" s="178" t="s">
        <v>621</v>
      </c>
      <c r="C66" s="191" t="s">
        <v>27</v>
      </c>
      <c r="D66" s="200"/>
      <c r="E66" s="71"/>
      <c r="F66" s="140">
        <v>0.02</v>
      </c>
      <c r="G66" s="140">
        <v>0.02</v>
      </c>
      <c r="H66" s="140">
        <v>0.02</v>
      </c>
      <c r="I66" s="140">
        <v>0.02</v>
      </c>
      <c r="J66" s="140">
        <v>0.02</v>
      </c>
      <c r="K66" s="140">
        <v>0.02</v>
      </c>
      <c r="L66" s="140">
        <v>0.02</v>
      </c>
      <c r="M66" s="140">
        <v>0.02</v>
      </c>
      <c r="N66" s="140">
        <v>0.02</v>
      </c>
      <c r="O66" s="140">
        <v>0.02</v>
      </c>
      <c r="P66" s="140">
        <v>0.02</v>
      </c>
      <c r="Q66" s="71"/>
      <c r="R66" s="71"/>
      <c r="S66" s="71"/>
      <c r="T66" s="160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 x14ac:dyDescent="0.25">
      <c r="A67" s="133"/>
      <c r="B67" s="184"/>
      <c r="C67" s="193"/>
      <c r="D67" s="200"/>
      <c r="E67" s="71"/>
      <c r="F67" s="140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71"/>
      <c r="R67" s="71"/>
      <c r="S67" s="71"/>
      <c r="T67" s="160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 ht="15.75" x14ac:dyDescent="0.25">
      <c r="A68" s="836" t="s">
        <v>451</v>
      </c>
      <c r="B68" s="837"/>
      <c r="C68" s="838"/>
      <c r="D68" s="129"/>
      <c r="E68" s="123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71"/>
      <c r="R68" s="129"/>
      <c r="S68" s="71"/>
      <c r="T68" s="160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 ht="7.15" customHeight="1" x14ac:dyDescent="0.25">
      <c r="A69" s="133"/>
      <c r="B69" s="184"/>
      <c r="C69" s="193"/>
      <c r="D69" s="200"/>
      <c r="E69" s="71"/>
      <c r="F69" s="140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71"/>
      <c r="R69" s="71"/>
      <c r="S69" s="71"/>
      <c r="T69" s="160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 ht="30" x14ac:dyDescent="0.25">
      <c r="A70" s="133"/>
      <c r="B70" s="182" t="s">
        <v>350</v>
      </c>
      <c r="C70" s="193" t="s">
        <v>120</v>
      </c>
      <c r="D70" s="200"/>
      <c r="E70" s="71"/>
      <c r="F70" s="142">
        <v>2</v>
      </c>
      <c r="G70" s="142">
        <v>2</v>
      </c>
      <c r="H70" s="142">
        <v>2</v>
      </c>
      <c r="I70" s="142">
        <v>2</v>
      </c>
      <c r="J70" s="142">
        <v>2</v>
      </c>
      <c r="K70" s="142">
        <v>2</v>
      </c>
      <c r="L70" s="142">
        <v>2</v>
      </c>
      <c r="M70" s="142">
        <v>2</v>
      </c>
      <c r="N70" s="142">
        <v>2</v>
      </c>
      <c r="O70" s="142">
        <v>2</v>
      </c>
      <c r="P70" s="142">
        <v>2</v>
      </c>
      <c r="Q70" s="71"/>
      <c r="R70" s="71"/>
      <c r="S70" s="71"/>
      <c r="T70" s="160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 x14ac:dyDescent="0.25">
      <c r="A71" s="133"/>
      <c r="B71" s="182"/>
      <c r="C71" s="193"/>
      <c r="D71" s="200"/>
      <c r="E71" s="71"/>
      <c r="F71" s="140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71"/>
      <c r="R71" s="71"/>
      <c r="S71" s="71"/>
      <c r="T71" s="160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 ht="75" x14ac:dyDescent="0.25">
      <c r="A72" s="836" t="s">
        <v>611</v>
      </c>
      <c r="B72" s="837"/>
      <c r="C72" s="838"/>
      <c r="D72" s="129"/>
      <c r="E72" s="123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71"/>
      <c r="R72" s="129"/>
      <c r="S72" s="71"/>
      <c r="T72" s="160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167" t="s">
        <v>610</v>
      </c>
      <c r="AF72" s="71"/>
      <c r="AG72" s="71"/>
      <c r="AH72" s="71"/>
      <c r="AI72" s="71"/>
      <c r="AJ72" s="71"/>
    </row>
    <row r="73" spans="1:36" x14ac:dyDescent="0.25">
      <c r="A73" s="133"/>
      <c r="B73" s="185"/>
      <c r="C73" s="193"/>
      <c r="D73" s="200"/>
      <c r="E73" s="71"/>
      <c r="F73" s="140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71"/>
      <c r="R73" s="71"/>
      <c r="S73" s="71"/>
      <c r="T73" s="160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 x14ac:dyDescent="0.25">
      <c r="A74" s="133"/>
      <c r="B74" s="167" t="s">
        <v>328</v>
      </c>
      <c r="C74" s="191" t="s">
        <v>27</v>
      </c>
      <c r="D74" s="200"/>
      <c r="E74" s="71"/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v>0</v>
      </c>
      <c r="L74" s="137">
        <v>0</v>
      </c>
      <c r="M74" s="137">
        <v>0</v>
      </c>
      <c r="N74" s="137">
        <v>0</v>
      </c>
      <c r="O74" s="137">
        <v>0</v>
      </c>
      <c r="P74" s="137">
        <v>0</v>
      </c>
      <c r="Q74" s="71"/>
      <c r="R74" s="71"/>
      <c r="S74" s="71"/>
      <c r="T74" s="160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 x14ac:dyDescent="0.25">
      <c r="A75" s="133"/>
      <c r="B75" s="167" t="s">
        <v>609</v>
      </c>
      <c r="C75" s="191" t="s">
        <v>27</v>
      </c>
      <c r="D75" s="134"/>
      <c r="E75" s="71"/>
      <c r="F75" s="137">
        <v>0</v>
      </c>
      <c r="G75" s="137">
        <v>0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0</v>
      </c>
      <c r="N75" s="137">
        <v>0</v>
      </c>
      <c r="O75" s="137">
        <v>0</v>
      </c>
      <c r="P75" s="137">
        <v>0</v>
      </c>
      <c r="Q75" s="71"/>
      <c r="R75" s="71"/>
      <c r="S75" s="71"/>
      <c r="T75" s="160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 ht="15.75" thickBot="1" x14ac:dyDescent="0.3">
      <c r="A76" s="132"/>
      <c r="B76" s="179"/>
      <c r="C76" s="192"/>
      <c r="D76" s="132"/>
      <c r="E76" s="7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71"/>
      <c r="R76" s="71"/>
      <c r="S76" s="71"/>
      <c r="T76" s="160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 ht="4.9000000000000004" customHeight="1" x14ac:dyDescent="0.25">
      <c r="A77" s="133"/>
      <c r="B77" s="182"/>
      <c r="C77" s="193"/>
      <c r="D77" s="133"/>
      <c r="E77" s="71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71"/>
      <c r="R77" s="149"/>
      <c r="S77" s="71"/>
      <c r="T77" s="160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 s="13" customFormat="1" ht="15.75" x14ac:dyDescent="0.25">
      <c r="A78" s="830" t="s">
        <v>742</v>
      </c>
      <c r="B78" s="831"/>
      <c r="C78" s="832"/>
      <c r="D78" s="129"/>
      <c r="E78" s="123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71"/>
      <c r="R78" s="157"/>
      <c r="S78" s="71"/>
      <c r="T78" s="160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</row>
    <row r="79" spans="1:36" ht="24.95" customHeight="1" x14ac:dyDescent="0.25">
      <c r="A79" s="149"/>
      <c r="B79" s="183" t="s">
        <v>147</v>
      </c>
      <c r="C79" s="191"/>
      <c r="D79" s="131"/>
      <c r="E79" s="71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71"/>
      <c r="R79" s="149"/>
      <c r="S79" s="71"/>
      <c r="T79" s="160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 ht="42.4" customHeight="1" x14ac:dyDescent="0.25">
      <c r="A80" s="133"/>
      <c r="B80" s="178" t="s">
        <v>146</v>
      </c>
      <c r="C80" s="191" t="s">
        <v>19</v>
      </c>
      <c r="D80" s="200" t="s">
        <v>134</v>
      </c>
      <c r="E80" s="71"/>
      <c r="F80" s="143">
        <v>80</v>
      </c>
      <c r="G80" s="152">
        <f>F80*Макро!G8</f>
        <v>81.92</v>
      </c>
      <c r="H80" s="152">
        <f>G80*Макро!H8</f>
        <v>83.886080000000007</v>
      </c>
      <c r="I80" s="152">
        <f>H80*Макро!I8</f>
        <v>86.151004159999999</v>
      </c>
      <c r="J80" s="152">
        <f>I80*Макро!J8</f>
        <v>88.477081272319992</v>
      </c>
      <c r="K80" s="152">
        <f>J80*Макро!K8</f>
        <v>90.865962466672627</v>
      </c>
      <c r="L80" s="152">
        <f>K80*Макро!L8</f>
        <v>93.228477490806114</v>
      </c>
      <c r="M80" s="152">
        <f>L80*Макро!M8</f>
        <v>95.652417905567077</v>
      </c>
      <c r="N80" s="152">
        <f>M80*Макро!N8</f>
        <v>98.139380771111817</v>
      </c>
      <c r="O80" s="152">
        <f>N80*Макро!O8</f>
        <v>100.69100467116073</v>
      </c>
      <c r="P80" s="152">
        <f>O80*Макро!P8</f>
        <v>103.30897079261091</v>
      </c>
      <c r="Q80" s="71"/>
      <c r="R80" s="71"/>
      <c r="S80" s="71"/>
      <c r="T80" s="160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171" t="s">
        <v>731</v>
      </c>
      <c r="AF80" s="71"/>
      <c r="AG80" s="71"/>
      <c r="AH80" s="71"/>
      <c r="AI80" s="71"/>
      <c r="AJ80" s="71"/>
    </row>
    <row r="81" spans="1:36" ht="47.45" customHeight="1" x14ac:dyDescent="0.25">
      <c r="A81" s="133"/>
      <c r="B81" s="178" t="s">
        <v>449</v>
      </c>
      <c r="C81" s="191" t="s">
        <v>19</v>
      </c>
      <c r="D81" s="200" t="s">
        <v>134</v>
      </c>
      <c r="E81" s="71"/>
      <c r="F81" s="143">
        <v>120</v>
      </c>
      <c r="G81" s="152">
        <f>F81*Макро!G8</f>
        <v>122.88</v>
      </c>
      <c r="H81" s="152">
        <f>G81*Макро!H8</f>
        <v>125.82912</v>
      </c>
      <c r="I81" s="152">
        <f>H81*Макро!I8</f>
        <v>129.22650623999999</v>
      </c>
      <c r="J81" s="152">
        <f>I81*Макро!J8</f>
        <v>132.71562190847999</v>
      </c>
      <c r="K81" s="152">
        <f>J81*Макро!K8</f>
        <v>136.29894370000895</v>
      </c>
      <c r="L81" s="152">
        <f>K81*Макро!L8</f>
        <v>139.84271623620918</v>
      </c>
      <c r="M81" s="152">
        <f>L81*Макро!M8</f>
        <v>143.47862685835062</v>
      </c>
      <c r="N81" s="152">
        <f>M81*Макро!N8</f>
        <v>147.20907115666773</v>
      </c>
      <c r="O81" s="152">
        <f>N81*Макро!O8</f>
        <v>151.03650700674109</v>
      </c>
      <c r="P81" s="152">
        <f>O81*Макро!P8</f>
        <v>154.96345618891635</v>
      </c>
      <c r="Q81" s="71"/>
      <c r="R81" s="71"/>
      <c r="S81" s="71"/>
      <c r="T81" s="160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 ht="15.75" thickBot="1" x14ac:dyDescent="0.3">
      <c r="A82" s="132"/>
      <c r="B82" s="179"/>
      <c r="C82" s="192"/>
      <c r="D82" s="132"/>
      <c r="E82" s="71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71"/>
      <c r="R82" s="132"/>
      <c r="S82" s="71"/>
      <c r="T82" s="160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 ht="4.9000000000000004" customHeight="1" x14ac:dyDescent="0.25">
      <c r="A83" s="133"/>
      <c r="B83" s="182"/>
      <c r="C83" s="193"/>
      <c r="D83" s="133"/>
      <c r="E83" s="71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71"/>
      <c r="R83" s="133"/>
      <c r="S83" s="71"/>
      <c r="T83" s="160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 s="13" customFormat="1" ht="15.75" x14ac:dyDescent="0.25">
      <c r="A84" s="830" t="s">
        <v>743</v>
      </c>
      <c r="B84" s="831"/>
      <c r="C84" s="832"/>
      <c r="D84" s="129"/>
      <c r="E84" s="123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71"/>
      <c r="R84" s="129"/>
      <c r="S84" s="71"/>
      <c r="T84" s="160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</row>
    <row r="85" spans="1:36" s="13" customFormat="1" ht="8.4499999999999993" customHeight="1" x14ac:dyDescent="0.25">
      <c r="A85" s="175"/>
      <c r="B85" s="186"/>
      <c r="C85" s="195"/>
      <c r="D85" s="144"/>
      <c r="E85" s="125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56"/>
      <c r="R85" s="144"/>
      <c r="S85" s="71"/>
      <c r="T85" s="160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</row>
    <row r="86" spans="1:36" s="13" customFormat="1" ht="15.4" customHeight="1" x14ac:dyDescent="0.25">
      <c r="A86" s="176"/>
      <c r="B86" s="187" t="s">
        <v>732</v>
      </c>
      <c r="C86" s="196"/>
      <c r="D86" s="145"/>
      <c r="E86" s="123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71"/>
      <c r="R86" s="145"/>
      <c r="S86" s="71"/>
      <c r="T86" s="160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</row>
    <row r="87" spans="1:36" s="13" customFormat="1" ht="14.45" customHeight="1" x14ac:dyDescent="0.25">
      <c r="A87" s="177"/>
      <c r="B87" s="186"/>
      <c r="C87" s="195"/>
      <c r="D87" s="144"/>
      <c r="E87" s="125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56"/>
      <c r="R87" s="144"/>
      <c r="S87" s="71"/>
      <c r="T87" s="160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</row>
    <row r="88" spans="1:36" x14ac:dyDescent="0.25">
      <c r="A88" s="133"/>
      <c r="B88" s="178" t="s">
        <v>457</v>
      </c>
      <c r="C88" s="191" t="s">
        <v>880</v>
      </c>
      <c r="D88" s="131"/>
      <c r="E88" s="71"/>
      <c r="F88" s="146">
        <v>9.35</v>
      </c>
      <c r="G88" s="153">
        <f t="shared" ref="G88:P88" si="7">F88*G9</f>
        <v>9.6304999999999996</v>
      </c>
      <c r="H88" s="153">
        <f t="shared" si="7"/>
        <v>9.8712624999999985</v>
      </c>
      <c r="I88" s="153">
        <f t="shared" si="7"/>
        <v>10.118044062499997</v>
      </c>
      <c r="J88" s="153">
        <f t="shared" si="7"/>
        <v>10.370995164062496</v>
      </c>
      <c r="K88" s="153">
        <f t="shared" si="7"/>
        <v>10.630270043164057</v>
      </c>
      <c r="L88" s="153">
        <f t="shared" si="7"/>
        <v>10.789724093811516</v>
      </c>
      <c r="M88" s="153">
        <f t="shared" si="7"/>
        <v>10.951569955218687</v>
      </c>
      <c r="N88" s="153">
        <f t="shared" si="7"/>
        <v>11.115843504546966</v>
      </c>
      <c r="O88" s="153">
        <f t="shared" si="7"/>
        <v>11.282581157115169</v>
      </c>
      <c r="P88" s="153">
        <f t="shared" si="7"/>
        <v>11.451819874471896</v>
      </c>
      <c r="Q88" s="71"/>
      <c r="R88" s="149"/>
      <c r="S88" s="71"/>
      <c r="T88" s="160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 x14ac:dyDescent="0.25">
      <c r="A89" s="133"/>
      <c r="B89" s="178" t="s">
        <v>456</v>
      </c>
      <c r="C89" s="191" t="s">
        <v>896</v>
      </c>
      <c r="D89" s="133"/>
      <c r="E89" s="71"/>
      <c r="F89" s="143">
        <v>950</v>
      </c>
      <c r="G89" s="152">
        <f t="shared" ref="G89:P89" si="8">F89*G9</f>
        <v>978.5</v>
      </c>
      <c r="H89" s="152">
        <f t="shared" si="8"/>
        <v>1002.9624999999999</v>
      </c>
      <c r="I89" s="152">
        <f t="shared" si="8"/>
        <v>1028.0365624999997</v>
      </c>
      <c r="J89" s="152">
        <f t="shared" si="8"/>
        <v>1053.7374765624995</v>
      </c>
      <c r="K89" s="152">
        <f t="shared" si="8"/>
        <v>1080.0809134765618</v>
      </c>
      <c r="L89" s="152">
        <f t="shared" si="8"/>
        <v>1096.2821271787102</v>
      </c>
      <c r="M89" s="152">
        <f t="shared" si="8"/>
        <v>1112.7263590863906</v>
      </c>
      <c r="N89" s="152">
        <f t="shared" si="8"/>
        <v>1129.4172544726864</v>
      </c>
      <c r="O89" s="152">
        <f t="shared" si="8"/>
        <v>1146.3585132897765</v>
      </c>
      <c r="P89" s="152">
        <f t="shared" si="8"/>
        <v>1163.5538909891231</v>
      </c>
      <c r="Q89" s="71"/>
      <c r="R89" s="149"/>
      <c r="S89" s="71"/>
      <c r="T89" s="160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 x14ac:dyDescent="0.25">
      <c r="A90" s="133"/>
      <c r="B90" s="182"/>
      <c r="C90" s="193"/>
      <c r="D90" s="133"/>
      <c r="E90" s="71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71"/>
      <c r="R90" s="71"/>
      <c r="S90" s="71"/>
      <c r="T90" s="160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 x14ac:dyDescent="0.25">
      <c r="A91" s="133"/>
      <c r="B91" s="182" t="s">
        <v>468</v>
      </c>
      <c r="C91" s="191" t="s">
        <v>186</v>
      </c>
      <c r="D91" s="200" t="s">
        <v>134</v>
      </c>
      <c r="E91" s="71"/>
      <c r="F91" s="146">
        <v>8</v>
      </c>
      <c r="G91" s="153">
        <f t="shared" ref="G91:P91" si="9">F91*G11</f>
        <v>8.36</v>
      </c>
      <c r="H91" s="153">
        <f t="shared" si="9"/>
        <v>8.6943999999999999</v>
      </c>
      <c r="I91" s="153">
        <f t="shared" si="9"/>
        <v>9.0421759999999995</v>
      </c>
      <c r="J91" s="153">
        <f t="shared" si="9"/>
        <v>9.4038630399999992</v>
      </c>
      <c r="K91" s="153">
        <f t="shared" si="9"/>
        <v>9.7800175615999994</v>
      </c>
      <c r="L91" s="153">
        <f t="shared" si="9"/>
        <v>10.171218264064001</v>
      </c>
      <c r="M91" s="153">
        <f t="shared" si="9"/>
        <v>10.57806699462656</v>
      </c>
      <c r="N91" s="153">
        <f t="shared" si="9"/>
        <v>11.001189674411624</v>
      </c>
      <c r="O91" s="153">
        <f t="shared" si="9"/>
        <v>11.441237261388089</v>
      </c>
      <c r="P91" s="153">
        <f t="shared" si="9"/>
        <v>11.898886751843612</v>
      </c>
      <c r="Q91" s="71"/>
      <c r="R91" s="149"/>
      <c r="S91" s="71"/>
      <c r="T91" s="160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 x14ac:dyDescent="0.25">
      <c r="A92" s="133"/>
      <c r="B92" s="182" t="s">
        <v>467</v>
      </c>
      <c r="C92" s="191" t="s">
        <v>186</v>
      </c>
      <c r="D92" s="200" t="s">
        <v>134</v>
      </c>
      <c r="E92" s="71"/>
      <c r="F92" s="146">
        <v>45</v>
      </c>
      <c r="G92" s="153">
        <f t="shared" ref="G92:P92" si="10">F92*G11</f>
        <v>47.024999999999999</v>
      </c>
      <c r="H92" s="153">
        <f t="shared" si="10"/>
        <v>48.905999999999999</v>
      </c>
      <c r="I92" s="153">
        <f t="shared" si="10"/>
        <v>50.86224</v>
      </c>
      <c r="J92" s="153">
        <f t="shared" si="10"/>
        <v>52.8967296</v>
      </c>
      <c r="K92" s="153">
        <f t="shared" si="10"/>
        <v>55.012598784000005</v>
      </c>
      <c r="L92" s="153">
        <f t="shared" si="10"/>
        <v>57.21310273536001</v>
      </c>
      <c r="M92" s="153">
        <f t="shared" si="10"/>
        <v>59.501626844774414</v>
      </c>
      <c r="N92" s="153">
        <f t="shared" si="10"/>
        <v>61.881691918565394</v>
      </c>
      <c r="O92" s="153">
        <f t="shared" si="10"/>
        <v>64.356959595308012</v>
      </c>
      <c r="P92" s="153">
        <f t="shared" si="10"/>
        <v>66.93123797912034</v>
      </c>
      <c r="Q92" s="71"/>
      <c r="R92" s="71"/>
      <c r="S92" s="71"/>
      <c r="T92" s="160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 ht="30" x14ac:dyDescent="0.25">
      <c r="A93" s="133"/>
      <c r="B93" s="182" t="s">
        <v>471</v>
      </c>
      <c r="C93" s="191" t="s">
        <v>186</v>
      </c>
      <c r="D93" s="200" t="s">
        <v>134</v>
      </c>
      <c r="E93" s="71"/>
      <c r="F93" s="146">
        <v>20</v>
      </c>
      <c r="G93" s="136">
        <f t="shared" ref="G93:P93" si="11">F93*G11</f>
        <v>20.9</v>
      </c>
      <c r="H93" s="136">
        <f t="shared" si="11"/>
        <v>21.736000000000001</v>
      </c>
      <c r="I93" s="136">
        <f t="shared" si="11"/>
        <v>22.605440000000002</v>
      </c>
      <c r="J93" s="136">
        <f t="shared" si="11"/>
        <v>23.509657600000004</v>
      </c>
      <c r="K93" s="136">
        <f t="shared" si="11"/>
        <v>24.450043904000005</v>
      </c>
      <c r="L93" s="136">
        <f t="shared" si="11"/>
        <v>25.428045660160006</v>
      </c>
      <c r="M93" s="136">
        <f t="shared" si="11"/>
        <v>26.445167486566408</v>
      </c>
      <c r="N93" s="136">
        <f t="shared" si="11"/>
        <v>27.502974186029064</v>
      </c>
      <c r="O93" s="136">
        <f t="shared" si="11"/>
        <v>28.603093153470226</v>
      </c>
      <c r="P93" s="136">
        <f t="shared" si="11"/>
        <v>29.747216879609038</v>
      </c>
      <c r="Q93" s="71"/>
      <c r="R93" s="71"/>
      <c r="S93" s="71"/>
      <c r="T93" s="160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 ht="30" x14ac:dyDescent="0.25">
      <c r="A94" s="133"/>
      <c r="B94" s="182" t="s">
        <v>470</v>
      </c>
      <c r="C94" s="191" t="s">
        <v>186</v>
      </c>
      <c r="D94" s="200"/>
      <c r="E94" s="71"/>
      <c r="F94" s="147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71"/>
      <c r="R94" s="71"/>
      <c r="S94" s="71"/>
      <c r="T94" s="160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 x14ac:dyDescent="0.25">
      <c r="A95" s="133"/>
      <c r="B95" s="182" t="s">
        <v>264</v>
      </c>
      <c r="C95" s="191" t="s">
        <v>186</v>
      </c>
      <c r="D95" s="200" t="s">
        <v>134</v>
      </c>
      <c r="E95" s="71"/>
      <c r="F95" s="147">
        <v>5</v>
      </c>
      <c r="G95" s="136">
        <f t="shared" ref="G95:P95" si="12">F95*G11</f>
        <v>5.2249999999999996</v>
      </c>
      <c r="H95" s="136">
        <f t="shared" si="12"/>
        <v>5.4340000000000002</v>
      </c>
      <c r="I95" s="136">
        <f t="shared" si="12"/>
        <v>5.6513600000000004</v>
      </c>
      <c r="J95" s="136">
        <f t="shared" si="12"/>
        <v>5.877414400000001</v>
      </c>
      <c r="K95" s="136">
        <f t="shared" si="12"/>
        <v>6.1125109760000012</v>
      </c>
      <c r="L95" s="136">
        <f t="shared" si="12"/>
        <v>6.3570114150400014</v>
      </c>
      <c r="M95" s="136">
        <f t="shared" si="12"/>
        <v>6.611291871641602</v>
      </c>
      <c r="N95" s="136">
        <f t="shared" si="12"/>
        <v>6.875743546507266</v>
      </c>
      <c r="O95" s="136">
        <f t="shared" si="12"/>
        <v>7.1507732883675565</v>
      </c>
      <c r="P95" s="136">
        <f t="shared" si="12"/>
        <v>7.4368042199022595</v>
      </c>
      <c r="Q95" s="71"/>
      <c r="R95" s="71"/>
      <c r="S95" s="71"/>
      <c r="T95" s="160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 x14ac:dyDescent="0.25">
      <c r="A96" s="133"/>
      <c r="B96" s="182"/>
      <c r="C96" s="193"/>
      <c r="D96" s="133"/>
      <c r="E96" s="71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71"/>
      <c r="R96" s="71"/>
      <c r="S96" s="71"/>
      <c r="T96" s="160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1" x14ac:dyDescent="0.25">
      <c r="A97" s="133"/>
      <c r="B97" s="182" t="s">
        <v>187</v>
      </c>
      <c r="C97" s="193" t="s">
        <v>893</v>
      </c>
      <c r="D97" s="200" t="s">
        <v>134</v>
      </c>
      <c r="E97" s="71"/>
      <c r="F97" s="143">
        <v>2140</v>
      </c>
      <c r="G97" s="152">
        <f t="shared" ref="G97:P97" si="13">F97*G10</f>
        <v>2204.2000000000003</v>
      </c>
      <c r="H97" s="152">
        <f t="shared" si="13"/>
        <v>2259.3050000000003</v>
      </c>
      <c r="I97" s="152">
        <f t="shared" si="13"/>
        <v>2315.7876249999999</v>
      </c>
      <c r="J97" s="152">
        <f t="shared" si="13"/>
        <v>2373.6823156249998</v>
      </c>
      <c r="K97" s="152">
        <f t="shared" si="13"/>
        <v>2433.0243735156246</v>
      </c>
      <c r="L97" s="152">
        <f t="shared" si="13"/>
        <v>2469.5197391183588</v>
      </c>
      <c r="M97" s="152">
        <f t="shared" si="13"/>
        <v>2506.5625352051338</v>
      </c>
      <c r="N97" s="152">
        <f t="shared" si="13"/>
        <v>2544.1609732332104</v>
      </c>
      <c r="O97" s="152">
        <f t="shared" si="13"/>
        <v>2582.3233878317083</v>
      </c>
      <c r="P97" s="152">
        <f t="shared" si="13"/>
        <v>2621.0582386491837</v>
      </c>
      <c r="Q97" s="71"/>
      <c r="R97" s="149"/>
      <c r="S97" s="71"/>
      <c r="T97" s="160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</row>
    <row r="98" spans="1:31" x14ac:dyDescent="0.25">
      <c r="A98" s="133"/>
      <c r="B98" s="182"/>
      <c r="C98" s="193"/>
      <c r="D98" s="133"/>
      <c r="E98" s="71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71"/>
      <c r="R98" s="71"/>
      <c r="S98" s="71"/>
      <c r="T98" s="160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</row>
    <row r="99" spans="1:31" x14ac:dyDescent="0.25">
      <c r="A99" s="133"/>
      <c r="B99" s="182" t="s">
        <v>188</v>
      </c>
      <c r="C99" s="193" t="s">
        <v>186</v>
      </c>
      <c r="D99" s="200" t="s">
        <v>134</v>
      </c>
      <c r="E99" s="71"/>
      <c r="F99" s="146">
        <v>6.4</v>
      </c>
      <c r="G99" s="153">
        <f t="shared" ref="G99:P99" si="14">F99*G12</f>
        <v>6.5920000000000005</v>
      </c>
      <c r="H99" s="153">
        <f t="shared" si="14"/>
        <v>6.7568000000000001</v>
      </c>
      <c r="I99" s="153">
        <f t="shared" si="14"/>
        <v>6.9257199999999992</v>
      </c>
      <c r="J99" s="153">
        <f t="shared" si="14"/>
        <v>7.0988629999999988</v>
      </c>
      <c r="K99" s="153">
        <f t="shared" si="14"/>
        <v>7.2763345749999981</v>
      </c>
      <c r="L99" s="153">
        <f t="shared" si="14"/>
        <v>7.3854795936249973</v>
      </c>
      <c r="M99" s="153">
        <f t="shared" si="14"/>
        <v>7.4962617875293711</v>
      </c>
      <c r="N99" s="153">
        <f t="shared" si="14"/>
        <v>7.6087057143423111</v>
      </c>
      <c r="O99" s="153">
        <f t="shared" si="14"/>
        <v>7.7228363000574447</v>
      </c>
      <c r="P99" s="153">
        <f t="shared" si="14"/>
        <v>7.8386788445583058</v>
      </c>
      <c r="Q99" s="71"/>
      <c r="R99" s="149"/>
      <c r="S99" s="71"/>
      <c r="T99" s="160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</row>
    <row r="100" spans="1:31" x14ac:dyDescent="0.25">
      <c r="A100" s="133"/>
      <c r="B100" s="182"/>
      <c r="C100" s="193"/>
      <c r="D100" s="200"/>
      <c r="E100" s="71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71"/>
      <c r="R100" s="149"/>
      <c r="S100" s="71"/>
      <c r="T100" s="160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</row>
    <row r="101" spans="1:31" ht="15.75" thickBot="1" x14ac:dyDescent="0.3">
      <c r="A101" s="132"/>
      <c r="B101" s="179"/>
      <c r="C101" s="192"/>
      <c r="D101" s="132"/>
      <c r="E101" s="71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71"/>
      <c r="R101" s="132"/>
      <c r="S101" s="71"/>
      <c r="T101" s="160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</row>
    <row r="102" spans="1:31" x14ac:dyDescent="0.25">
      <c r="A102" s="149"/>
      <c r="B102" s="149"/>
      <c r="C102" s="197"/>
      <c r="D102" s="149"/>
      <c r="E102" s="71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71"/>
      <c r="R102" s="149"/>
      <c r="S102" s="71"/>
      <c r="T102" s="160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149"/>
    </row>
    <row r="103" spans="1:31" ht="30" customHeight="1" x14ac:dyDescent="0.25">
      <c r="A103" s="833" t="s">
        <v>787</v>
      </c>
      <c r="B103" s="834"/>
      <c r="C103" s="835"/>
      <c r="D103" s="150"/>
      <c r="E103" s="123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71"/>
      <c r="R103" s="150"/>
      <c r="S103" s="71"/>
      <c r="T103" s="160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</row>
    <row r="104" spans="1:31" ht="15.75" x14ac:dyDescent="0.25">
      <c r="A104" s="830" t="s">
        <v>738</v>
      </c>
      <c r="B104" s="831"/>
      <c r="C104" s="832"/>
      <c r="D104" s="129"/>
      <c r="E104" s="71"/>
      <c r="F104" s="151" t="s">
        <v>794</v>
      </c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</row>
    <row r="105" spans="1:31" ht="30" x14ac:dyDescent="0.25">
      <c r="A105" s="71"/>
      <c r="B105" s="188" t="s">
        <v>143</v>
      </c>
      <c r="C105" s="191" t="s">
        <v>120</v>
      </c>
      <c r="D105" s="71"/>
      <c r="E105" s="71"/>
      <c r="F105" s="130">
        <v>1.05</v>
      </c>
      <c r="G105" s="130">
        <v>1.05</v>
      </c>
      <c r="H105" s="130">
        <v>1.05</v>
      </c>
      <c r="I105" s="130">
        <v>1.05</v>
      </c>
      <c r="J105" s="130">
        <v>1.05</v>
      </c>
      <c r="K105" s="130">
        <v>1.05</v>
      </c>
      <c r="L105" s="130">
        <v>1.05</v>
      </c>
      <c r="M105" s="130">
        <v>1.05</v>
      </c>
      <c r="N105" s="130">
        <v>1.05</v>
      </c>
      <c r="O105" s="130">
        <v>1.05</v>
      </c>
      <c r="P105" s="130">
        <v>1.05</v>
      </c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</row>
    <row r="106" spans="1:31" x14ac:dyDescent="0.25">
      <c r="A106" s="71"/>
      <c r="B106" s="188" t="s">
        <v>105</v>
      </c>
      <c r="C106" s="191" t="s">
        <v>27</v>
      </c>
      <c r="D106" s="71"/>
      <c r="E106" s="71"/>
      <c r="F106" s="131">
        <v>0.02</v>
      </c>
      <c r="G106" s="131">
        <v>0.02</v>
      </c>
      <c r="H106" s="131">
        <v>0.02</v>
      </c>
      <c r="I106" s="131">
        <v>0.02</v>
      </c>
      <c r="J106" s="131">
        <v>0.02</v>
      </c>
      <c r="K106" s="131">
        <v>0.02</v>
      </c>
      <c r="L106" s="131">
        <v>0.02</v>
      </c>
      <c r="M106" s="131">
        <v>0.02</v>
      </c>
      <c r="N106" s="131">
        <v>0.02</v>
      </c>
      <c r="O106" s="131">
        <v>0.02</v>
      </c>
      <c r="P106" s="131">
        <v>0.02</v>
      </c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</row>
    <row r="107" spans="1:31" ht="30" x14ac:dyDescent="0.25">
      <c r="A107" s="71"/>
      <c r="B107" s="188" t="s">
        <v>722</v>
      </c>
      <c r="C107" s="191" t="s">
        <v>120</v>
      </c>
      <c r="D107" s="71"/>
      <c r="E107" s="71"/>
      <c r="F107" s="130">
        <v>1.06</v>
      </c>
      <c r="G107" s="130">
        <v>1.06</v>
      </c>
      <c r="H107" s="130">
        <v>1.06</v>
      </c>
      <c r="I107" s="130">
        <v>1.06</v>
      </c>
      <c r="J107" s="130">
        <v>1.06</v>
      </c>
      <c r="K107" s="130">
        <v>1.06</v>
      </c>
      <c r="L107" s="130">
        <v>1.06</v>
      </c>
      <c r="M107" s="130">
        <v>1.06</v>
      </c>
      <c r="N107" s="130">
        <v>1.06</v>
      </c>
      <c r="O107" s="130">
        <v>1.06</v>
      </c>
      <c r="P107" s="130">
        <v>1.06</v>
      </c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</row>
    <row r="108" spans="1:31" ht="30" x14ac:dyDescent="0.25">
      <c r="A108" s="71"/>
      <c r="B108" s="188" t="s">
        <v>723</v>
      </c>
      <c r="C108" s="191" t="s">
        <v>120</v>
      </c>
      <c r="D108" s="71"/>
      <c r="E108" s="71"/>
      <c r="F108" s="130">
        <v>1.06</v>
      </c>
      <c r="G108" s="130">
        <v>1.06</v>
      </c>
      <c r="H108" s="130">
        <v>1.06</v>
      </c>
      <c r="I108" s="130">
        <v>1.06</v>
      </c>
      <c r="J108" s="130">
        <v>1.06</v>
      </c>
      <c r="K108" s="130">
        <v>1.06</v>
      </c>
      <c r="L108" s="130">
        <v>1.06</v>
      </c>
      <c r="M108" s="130">
        <v>1.06</v>
      </c>
      <c r="N108" s="130">
        <v>1.06</v>
      </c>
      <c r="O108" s="130">
        <v>1.06</v>
      </c>
      <c r="P108" s="130">
        <v>1.06</v>
      </c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</row>
    <row r="109" spans="1:31" ht="30" x14ac:dyDescent="0.25">
      <c r="A109" s="71"/>
      <c r="B109" s="188" t="s">
        <v>724</v>
      </c>
      <c r="C109" s="191" t="s">
        <v>120</v>
      </c>
      <c r="D109" s="71"/>
      <c r="E109" s="71"/>
      <c r="F109" s="130">
        <v>1.06</v>
      </c>
      <c r="G109" s="130">
        <v>1.06</v>
      </c>
      <c r="H109" s="130">
        <v>1.06</v>
      </c>
      <c r="I109" s="130">
        <v>1.06</v>
      </c>
      <c r="J109" s="130">
        <v>1.06</v>
      </c>
      <c r="K109" s="130">
        <v>1.06</v>
      </c>
      <c r="L109" s="130">
        <v>1.06</v>
      </c>
      <c r="M109" s="130">
        <v>1.06</v>
      </c>
      <c r="N109" s="130">
        <v>1.06</v>
      </c>
      <c r="O109" s="130">
        <v>1.06</v>
      </c>
      <c r="P109" s="130">
        <v>1.06</v>
      </c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</row>
    <row r="110" spans="1:31" ht="30" x14ac:dyDescent="0.25">
      <c r="A110" s="71"/>
      <c r="B110" s="188" t="s">
        <v>725</v>
      </c>
      <c r="C110" s="191" t="s">
        <v>120</v>
      </c>
      <c r="D110" s="71"/>
      <c r="E110" s="71"/>
      <c r="F110" s="130">
        <v>1.06</v>
      </c>
      <c r="G110" s="130">
        <v>1.06</v>
      </c>
      <c r="H110" s="130">
        <v>1.06</v>
      </c>
      <c r="I110" s="130">
        <v>1.06</v>
      </c>
      <c r="J110" s="130">
        <v>1.06</v>
      </c>
      <c r="K110" s="130">
        <v>1.06</v>
      </c>
      <c r="L110" s="130">
        <v>1.06</v>
      </c>
      <c r="M110" s="130">
        <v>1.06</v>
      </c>
      <c r="N110" s="130">
        <v>1.06</v>
      </c>
      <c r="O110" s="130">
        <v>1.06</v>
      </c>
      <c r="P110" s="130">
        <v>1.06</v>
      </c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</row>
    <row r="111" spans="1:31" x14ac:dyDescent="0.25">
      <c r="A111" s="71"/>
      <c r="B111" s="188" t="s">
        <v>726</v>
      </c>
      <c r="C111" s="191" t="s">
        <v>120</v>
      </c>
      <c r="D111" s="71"/>
      <c r="E111" s="71"/>
      <c r="F111" s="130">
        <v>1.06</v>
      </c>
      <c r="G111" s="130">
        <v>1.06</v>
      </c>
      <c r="H111" s="130">
        <v>1.06</v>
      </c>
      <c r="I111" s="130">
        <v>1.06</v>
      </c>
      <c r="J111" s="130">
        <v>1.06</v>
      </c>
      <c r="K111" s="130">
        <v>1.06</v>
      </c>
      <c r="L111" s="130">
        <v>1.06</v>
      </c>
      <c r="M111" s="130">
        <v>1.06</v>
      </c>
      <c r="N111" s="130">
        <v>1.06</v>
      </c>
      <c r="O111" s="130">
        <v>1.06</v>
      </c>
      <c r="P111" s="130">
        <v>1.06</v>
      </c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1" ht="15.75" x14ac:dyDescent="0.25">
      <c r="A112" s="830" t="s">
        <v>739</v>
      </c>
      <c r="B112" s="831"/>
      <c r="C112" s="832"/>
      <c r="D112" s="129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</row>
    <row r="113" spans="1:16" x14ac:dyDescent="0.25">
      <c r="A113" s="71"/>
      <c r="B113" s="188" t="s">
        <v>144</v>
      </c>
      <c r="C113" s="198" t="s">
        <v>27</v>
      </c>
      <c r="D113" s="71"/>
      <c r="E113" s="71"/>
      <c r="F113" s="131">
        <v>0.16</v>
      </c>
      <c r="G113" s="131">
        <v>0.16</v>
      </c>
      <c r="H113" s="131">
        <v>0.16</v>
      </c>
      <c r="I113" s="131">
        <v>0.16</v>
      </c>
      <c r="J113" s="131">
        <v>0.16</v>
      </c>
      <c r="K113" s="131">
        <v>0.16</v>
      </c>
      <c r="L113" s="131">
        <v>0.16</v>
      </c>
      <c r="M113" s="131">
        <v>0.16</v>
      </c>
      <c r="N113" s="131">
        <v>0.16</v>
      </c>
      <c r="O113" s="131">
        <v>0.16</v>
      </c>
      <c r="P113" s="131">
        <v>0.16</v>
      </c>
    </row>
    <row r="114" spans="1:16" x14ac:dyDescent="0.25">
      <c r="A114" s="71"/>
      <c r="B114" s="188" t="s">
        <v>772</v>
      </c>
      <c r="C114" s="198" t="s">
        <v>27</v>
      </c>
      <c r="D114" s="71"/>
      <c r="E114" s="71"/>
      <c r="F114" s="131">
        <v>0.2</v>
      </c>
      <c r="G114" s="131">
        <v>0.2</v>
      </c>
      <c r="H114" s="131">
        <v>0.2</v>
      </c>
      <c r="I114" s="131">
        <v>0.2</v>
      </c>
      <c r="J114" s="131">
        <v>0.2</v>
      </c>
      <c r="K114" s="131">
        <v>0.2</v>
      </c>
      <c r="L114" s="131">
        <v>0.2</v>
      </c>
      <c r="M114" s="131">
        <v>0.2</v>
      </c>
      <c r="N114" s="131">
        <v>0.2</v>
      </c>
      <c r="O114" s="131">
        <v>0.2</v>
      </c>
      <c r="P114" s="131">
        <v>0.2</v>
      </c>
    </row>
    <row r="115" spans="1:16" x14ac:dyDescent="0.25">
      <c r="A115" s="71"/>
      <c r="B115" s="188" t="s">
        <v>773</v>
      </c>
      <c r="C115" s="198" t="s">
        <v>27</v>
      </c>
      <c r="D115" s="71"/>
      <c r="E115" s="71"/>
      <c r="F115" s="134">
        <v>0.18</v>
      </c>
      <c r="G115" s="134">
        <v>0.18</v>
      </c>
      <c r="H115" s="134">
        <v>0.18</v>
      </c>
      <c r="I115" s="134">
        <v>0.18</v>
      </c>
      <c r="J115" s="134">
        <v>0.18</v>
      </c>
      <c r="K115" s="134">
        <v>0.18</v>
      </c>
      <c r="L115" s="134">
        <v>0.18</v>
      </c>
      <c r="M115" s="134">
        <v>0.18</v>
      </c>
      <c r="N115" s="134">
        <v>0.18</v>
      </c>
      <c r="O115" s="134">
        <v>0.18</v>
      </c>
      <c r="P115" s="134">
        <v>0.18</v>
      </c>
    </row>
    <row r="116" spans="1:16" x14ac:dyDescent="0.25">
      <c r="A116" s="71"/>
      <c r="B116" s="188" t="s">
        <v>689</v>
      </c>
      <c r="C116" s="198" t="s">
        <v>27</v>
      </c>
      <c r="D116" s="71"/>
      <c r="E116" s="71"/>
      <c r="F116" s="134">
        <v>0.1</v>
      </c>
      <c r="G116" s="134">
        <v>0.1</v>
      </c>
      <c r="H116" s="134">
        <v>0.1</v>
      </c>
      <c r="I116" s="134">
        <v>0.1</v>
      </c>
      <c r="J116" s="134">
        <v>0.1</v>
      </c>
      <c r="K116" s="134">
        <v>0.1</v>
      </c>
      <c r="L116" s="134">
        <v>0.1</v>
      </c>
      <c r="M116" s="134">
        <v>0.1</v>
      </c>
      <c r="N116" s="134">
        <v>0.1</v>
      </c>
      <c r="O116" s="134">
        <v>0.1</v>
      </c>
      <c r="P116" s="134">
        <v>0.1</v>
      </c>
    </row>
    <row r="117" spans="1:16" ht="15.75" x14ac:dyDescent="0.25">
      <c r="A117" s="830" t="s">
        <v>740</v>
      </c>
      <c r="B117" s="831"/>
      <c r="C117" s="832"/>
      <c r="D117" s="129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1:16" x14ac:dyDescent="0.25">
      <c r="A118" s="71"/>
      <c r="B118" s="188" t="s">
        <v>184</v>
      </c>
      <c r="C118" s="191" t="s">
        <v>183</v>
      </c>
      <c r="D118" s="131"/>
      <c r="E118" s="71"/>
      <c r="F118" s="135">
        <v>91</v>
      </c>
      <c r="G118" s="135">
        <v>91</v>
      </c>
      <c r="H118" s="135">
        <v>91</v>
      </c>
      <c r="I118" s="135">
        <v>91</v>
      </c>
      <c r="J118" s="135">
        <v>91</v>
      </c>
      <c r="K118" s="135">
        <v>91</v>
      </c>
      <c r="L118" s="135">
        <v>91</v>
      </c>
      <c r="M118" s="135">
        <v>91</v>
      </c>
      <c r="N118" s="135">
        <v>91</v>
      </c>
      <c r="O118" s="135">
        <v>91</v>
      </c>
      <c r="P118" s="135">
        <v>91</v>
      </c>
    </row>
    <row r="119" spans="1:16" x14ac:dyDescent="0.25">
      <c r="A119" s="71"/>
      <c r="B119" s="188" t="s">
        <v>185</v>
      </c>
      <c r="C119" s="191" t="s">
        <v>182</v>
      </c>
      <c r="D119" s="131"/>
      <c r="E119" s="71"/>
      <c r="F119" s="135">
        <v>100</v>
      </c>
      <c r="G119" s="135">
        <v>100</v>
      </c>
      <c r="H119" s="135">
        <v>100</v>
      </c>
      <c r="I119" s="135">
        <v>100</v>
      </c>
      <c r="J119" s="135">
        <v>100</v>
      </c>
      <c r="K119" s="135">
        <v>100</v>
      </c>
      <c r="L119" s="135">
        <v>100</v>
      </c>
      <c r="M119" s="135">
        <v>100</v>
      </c>
      <c r="N119" s="135">
        <v>100</v>
      </c>
      <c r="O119" s="135">
        <v>100</v>
      </c>
      <c r="P119" s="135">
        <v>100</v>
      </c>
    </row>
    <row r="120" spans="1:16" x14ac:dyDescent="0.25">
      <c r="A120" s="71"/>
      <c r="B120" s="178" t="s">
        <v>804</v>
      </c>
      <c r="C120" s="191" t="s">
        <v>805</v>
      </c>
      <c r="D120" s="133"/>
      <c r="E120" s="71"/>
      <c r="F120" s="136">
        <v>12.7</v>
      </c>
      <c r="G120" s="136">
        <v>12.7</v>
      </c>
      <c r="H120" s="136">
        <v>12.7</v>
      </c>
      <c r="I120" s="136">
        <v>12.7</v>
      </c>
      <c r="J120" s="136">
        <v>12.7</v>
      </c>
      <c r="K120" s="136">
        <v>12.7</v>
      </c>
      <c r="L120" s="136">
        <v>12.7</v>
      </c>
      <c r="M120" s="136">
        <v>12.7</v>
      </c>
      <c r="N120" s="136">
        <v>12.7</v>
      </c>
      <c r="O120" s="136">
        <v>12.7</v>
      </c>
      <c r="P120" s="136">
        <v>12.7</v>
      </c>
    </row>
  </sheetData>
  <mergeCells count="13">
    <mergeCell ref="A104:C104"/>
    <mergeCell ref="A112:C112"/>
    <mergeCell ref="A117:C117"/>
    <mergeCell ref="A103:C103"/>
    <mergeCell ref="A5:C5"/>
    <mergeCell ref="A30:C30"/>
    <mergeCell ref="A24:C24"/>
    <mergeCell ref="A78:C78"/>
    <mergeCell ref="A84:C84"/>
    <mergeCell ref="A15:C15"/>
    <mergeCell ref="A57:C57"/>
    <mergeCell ref="A68:C68"/>
    <mergeCell ref="A72:C72"/>
  </mergeCells>
  <hyperlinks>
    <hyperlink ref="AE30" r:id="rId1" xr:uid="{F3FE9E86-A7C7-4AF5-99B0-B7497E270D71}"/>
    <hyperlink ref="I1" location="Контроль!A1" display="Контроль!A1" xr:uid="{F7FFE4DA-7C82-451F-914E-5F18017D349B}"/>
  </hyperlinks>
  <pageMargins left="0.70866141732283472" right="0.70866141732283472" top="0.74803149606299213" bottom="0.74803149606299213" header="0.31496062992125984" footer="0.31496062992125984"/>
  <pageSetup paperSize="9" scale="52" fitToHeight="7" orientation="landscape" r:id="rId2"/>
  <headerFooter>
    <oddFooter>&amp;C&amp;9Страница  &amp;P из &amp;N&amp;R&amp;G</oddFooter>
  </headerFooter>
  <drawing r:id="rId3"/>
  <legacyDrawingHF r:id="rId4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DE91F114-D9F1-443C-B7E4-499FC7AA556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Макро!F89:P89</xm:f>
              <xm:sqref>R89</xm:sqref>
            </x14:sparkline>
          </x14:sparklines>
        </x14:sparklineGroup>
        <x14:sparklineGroup manualMax="0" manualMin="0" displayEmptyCellsAs="gap" xr2:uid="{00CD9E27-052A-43C7-A2B9-1706CFEDD93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Макро!F95:P95</xm:f>
              <xm:sqref>R95</xm:sqref>
            </x14:sparkline>
          </x14:sparklines>
        </x14:sparklineGroup>
        <x14:sparklineGroup manualMax="0" manualMin="0" displayEmptyCellsAs="gap" xr2:uid="{F645A59B-8643-4428-8CD7-B19E1BA2B0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Макро!F80:P80</xm:f>
              <xm:sqref>R80</xm:sqref>
            </x14:sparkline>
          </x14:sparklines>
        </x14:sparklineGroup>
        <x14:sparklineGroup manualMax="0" manualMin="0" displayEmptyCellsAs="gap" xr2:uid="{1F85F03B-8EA6-4C70-83FC-4D5F0D1A7FC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Макро!F47:P47</xm:f>
              <xm:sqref>R47</xm:sqref>
            </x14:sparkline>
          </x14:sparklines>
        </x14:sparklineGroup>
        <x14:sparklineGroup manualMax="0" manualMin="0" displayEmptyCellsAs="gap" xr2:uid="{A00C1F4D-2363-460A-97A6-4914BD4E8DE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Макро!F98:P98</xm:f>
              <xm:sqref>R98</xm:sqref>
            </x14:sparkline>
          </x14:sparklines>
        </x14:sparklineGroup>
        <x14:sparklineGroup manualMax="0" manualMin="0" displayEmptyCellsAs="gap" xr2:uid="{2615BEDB-8185-42D9-B690-8CBDC38AC2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Макро!F88:P88</xm:f>
              <xm:sqref>R88</xm:sqref>
            </x14:sparkline>
          </x14:sparklines>
        </x14:sparklineGroup>
        <x14:sparklineGroup manualMax="0" manualMin="0" displayEmptyCellsAs="gap" xr2:uid="{86EF1B3D-0BF6-4A3E-90D7-6620F2607B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Макро!F59:P59</xm:f>
              <xm:sqref>R59</xm:sqref>
            </x14:sparkline>
          </x14:sparklines>
        </x14:sparklineGroup>
        <x14:sparklineGroup manualMax="0" manualMin="0" displayEmptyCellsAs="gap" xr2:uid="{95B16763-AC39-444D-A277-23240D1A8EC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Макро!F99:P99</xm:f>
              <xm:sqref>R99</xm:sqref>
            </x14:sparkline>
            <x14:sparkline>
              <xm:f>Макро!F100:P100</xm:f>
              <xm:sqref>R100</xm:sqref>
            </x14:sparkline>
          </x14:sparklines>
        </x14:sparklineGroup>
        <x14:sparklineGroup manualMax="0" manualMin="0" displayEmptyCellsAs="gap" xr2:uid="{6C4C626B-439E-4A27-9F3F-AD5ECF93D3F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Макро!F26:P26</xm:f>
              <xm:sqref>R26</xm:sqref>
            </x14:sparkline>
            <x14:sparkline>
              <xm:f>Макро!F25:P25</xm:f>
              <xm:sqref>R25</xm:sqref>
            </x14:sparkline>
          </x14:sparklines>
        </x14:sparklineGroup>
        <x14:sparklineGroup manualMax="0" manualMin="0" displayEmptyCellsAs="gap" xr2:uid="{8EB983E3-4BAB-463C-9F42-F2F5D85F7C4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Макро!F92:P92</xm:f>
              <xm:sqref>R92</xm:sqref>
            </x14:sparkline>
          </x14:sparklines>
        </x14:sparklineGroup>
        <x14:sparklineGroup manualMax="0" manualMin="0" displayEmptyCellsAs="gap" xr2:uid="{1BF68B66-6B53-436F-9A14-4BC06F134B4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Макро!F16:P16</xm:f>
              <xm:sqref>R16</xm:sqref>
            </x14:sparkline>
          </x14:sparklines>
        </x14:sparklineGroup>
        <x14:sparklineGroup manualMax="0" manualMin="0" displayEmptyCellsAs="gap" xr2:uid="{A4287434-7405-48D8-93CE-E9E00359C8B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Макро!F17:P17</xm:f>
              <xm:sqref>R17</xm:sqref>
            </x14:sparkline>
          </x14:sparklines>
        </x14:sparklineGroup>
        <x14:sparklineGroup manualMax="0" manualMin="0" displayEmptyCellsAs="gap" xr2:uid="{6E4D4F92-AC69-4A5E-97D8-3B71A2A5AB9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Макро!F102:P102</xm:f>
              <xm:sqref>R102</xm:sqref>
            </x14:sparkline>
          </x14:sparklines>
        </x14:sparklineGroup>
        <x14:sparklineGroup manualMax="0" manualMin="0" displayEmptyCellsAs="gap" xr2:uid="{6A437734-F728-479F-972B-48FF2623727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Макро!F97:P97</xm:f>
              <xm:sqref>R97</xm:sqref>
            </x14:sparkline>
          </x14:sparklines>
        </x14:sparklineGroup>
        <x14:sparklineGroup manualMax="0" manualMin="0" displayEmptyCellsAs="gap" xr2:uid="{D56FD8B9-9306-47AB-A7C2-08EB1E1881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Макро!F91:P91</xm:f>
              <xm:sqref>R91</xm:sqref>
            </x14:sparkline>
          </x14:sparklines>
        </x14:sparklineGroup>
        <x14:sparklineGroup manualMax="0" manualMin="0" displayEmptyCellsAs="gap" xr2:uid="{BC722E44-65B9-4C1B-A85C-F3725D83F25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Макро!F6:P6</xm:f>
              <xm:sqref>R6</xm:sqref>
            </x14:sparkline>
          </x14:sparklines>
        </x14:sparklineGroup>
        <x14:sparklineGroup manualMax="0" manualMin="0" displayEmptyCellsAs="gap" xr2:uid="{AC79062B-CEBC-4611-B29A-ECAD3EC1615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Макро!F7:P7</xm:f>
              <xm:sqref>R7</xm:sqref>
            </x14:sparkline>
          </x14:sparklines>
        </x14:sparklineGroup>
        <x14:sparklineGroup manualMax="0" manualMin="0" displayEmptyCellsAs="gap" xr2:uid="{F054E067-D5F4-442B-B980-435ADEAABAB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Макро!F8:P8</xm:f>
              <xm:sqref>R8</xm:sqref>
            </x14:sparkline>
          </x14:sparklines>
        </x14:sparklineGroup>
        <x14:sparklineGroup manualMax="0" manualMin="0" displayEmptyCellsAs="gap" xr2:uid="{DC6B9978-F6A2-43BB-B6B2-C19957678FE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Макро!F81:P81</xm:f>
              <xm:sqref>R81</xm:sqref>
            </x14:sparkline>
          </x14:sparklines>
        </x14:sparklineGroup>
        <x14:sparklineGroup manualMax="0" manualMin="0" displayEmptyCellsAs="gap" xr2:uid="{6E4EE851-2FC1-4F49-9E6B-534CAD1A41B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Макро!F90:P90</xm:f>
              <xm:sqref>R90</xm:sqref>
            </x14:sparkline>
          </x14:sparklines>
        </x14:sparklineGroup>
        <x14:sparklineGroup manualMax="0" manualMin="0" displayEmptyCellsAs="gap" xr2:uid="{8107AB60-4AF3-4F48-8F1E-3B58C283F4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Макро!F96:P96</xm:f>
              <xm:sqref>R96</xm:sqref>
            </x14:sparkline>
          </x14:sparklines>
        </x14:sparklineGroup>
        <x14:sparklineGroup manualMax="0" manualMin="0" displayEmptyCellsAs="gap" xr2:uid="{ACC0D6B8-5730-422E-8371-6DB48FB2692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Макро!F9:P9</xm:f>
              <xm:sqref>R9</xm:sqref>
            </x14:sparkline>
          </x14:sparklines>
        </x14:sparklineGroup>
        <x14:sparklineGroup manualMax="0" manualMin="0" displayEmptyCellsAs="gap" xr2:uid="{AF994153-37B6-4722-94D4-2E5A63895C0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Макро!F10:P10</xm:f>
              <xm:sqref>R10</xm:sqref>
            </x14:sparkline>
          </x14:sparklines>
        </x14:sparklineGroup>
        <x14:sparklineGroup manualMax="0" manualMin="0" displayEmptyCellsAs="gap" xr2:uid="{F78B5CDB-DC0F-4385-A781-47BDEBE839F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Макро!F11:P11</xm:f>
              <xm:sqref>R11</xm:sqref>
            </x14:sparkline>
          </x14:sparklines>
        </x14:sparklineGroup>
        <x14:sparklineGroup manualMax="0" manualMin="0" displayEmptyCellsAs="gap" xr2:uid="{A66EA57D-5C0A-4574-9E66-51C232F6B31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Макро!F12:P12</xm:f>
              <xm:sqref>R12</xm:sqref>
            </x14:sparkline>
          </x14:sparklines>
        </x14:sparklineGroup>
        <x14:sparklineGroup manualMax="0" manualMin="0" displayEmptyCellsAs="gap" xr2:uid="{B468C2A2-4F18-4C79-BED4-D932999A9FC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Макро!F93:P93</xm:f>
              <xm:sqref>R93</xm:sqref>
            </x14:sparkline>
            <x14:sparkline>
              <xm:f>Макро!F94:P94</xm:f>
              <xm:sqref>R94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79D0-AA4E-40BC-B783-4F161307C50C}">
  <sheetPr>
    <tabColor theme="8" tint="0.79998168889431442"/>
    <outlinePr summaryRight="0"/>
    <pageSetUpPr fitToPage="1"/>
  </sheetPr>
  <dimension ref="A1:N61"/>
  <sheetViews>
    <sheetView zoomScale="115" zoomScaleNormal="115" workbookViewId="0"/>
  </sheetViews>
  <sheetFormatPr defaultColWidth="8.85546875" defaultRowHeight="15" x14ac:dyDescent="0.25"/>
  <cols>
    <col min="1" max="1" width="61.28515625" style="28" customWidth="1"/>
    <col min="2" max="2" width="8.85546875" style="28"/>
    <col min="3" max="3" width="10.5703125" style="28" bestFit="1" customWidth="1"/>
    <col min="4" max="4" width="63.140625" style="28" customWidth="1"/>
    <col min="5" max="16384" width="8.85546875" style="28"/>
  </cols>
  <sheetData>
    <row r="1" spans="1:4" ht="18.75" x14ac:dyDescent="0.25">
      <c r="A1" s="690" t="s">
        <v>369</v>
      </c>
      <c r="B1" s="71"/>
      <c r="C1" s="208"/>
      <c r="D1" s="225"/>
    </row>
    <row r="2" spans="1:4" x14ac:dyDescent="0.25">
      <c r="A2" s="71" t="str">
        <f>Паспорт_ФМ_резидент!$B$7</f>
        <v>Название инвест. проект 01</v>
      </c>
      <c r="B2" s="154" t="str">
        <f ca="1">Контроль!$Q$1</f>
        <v>Ошибок нет</v>
      </c>
      <c r="C2" s="205"/>
      <c r="D2" s="71"/>
    </row>
    <row r="3" spans="1:4" x14ac:dyDescent="0.25">
      <c r="A3" s="205"/>
      <c r="B3" s="205"/>
      <c r="C3" s="218"/>
      <c r="D3" s="71"/>
    </row>
    <row r="4" spans="1:4" x14ac:dyDescent="0.25">
      <c r="A4" s="206" t="s">
        <v>687</v>
      </c>
      <c r="B4" s="206"/>
      <c r="C4" s="219"/>
      <c r="D4" s="71"/>
    </row>
    <row r="5" spans="1:4" x14ac:dyDescent="0.25">
      <c r="A5" s="207" t="s">
        <v>514</v>
      </c>
      <c r="B5" s="212" t="s">
        <v>686</v>
      </c>
      <c r="C5" s="220">
        <f>Финансы!D7</f>
        <v>30000</v>
      </c>
      <c r="D5" s="226" t="str" cm="1">
        <f t="array" aca="1" ref="D5" ca="1">HYPERLINK(CELL("адрес",Финансы!D7),"источник")</f>
        <v>источник</v>
      </c>
    </row>
    <row r="6" spans="1:4" x14ac:dyDescent="0.25">
      <c r="A6" s="207"/>
      <c r="B6" s="212"/>
      <c r="C6" s="221" t="str">
        <f>"/"</f>
        <v>/</v>
      </c>
      <c r="D6" s="71"/>
    </row>
    <row r="7" spans="1:4" x14ac:dyDescent="0.25">
      <c r="A7" s="207" t="s">
        <v>682</v>
      </c>
      <c r="B7" s="212" t="s">
        <v>66</v>
      </c>
      <c r="C7" s="220">
        <f ca="1">C5+C11</f>
        <v>125000</v>
      </c>
      <c r="D7" s="71"/>
    </row>
    <row r="8" spans="1:4" x14ac:dyDescent="0.25">
      <c r="A8" s="207"/>
      <c r="B8" s="212"/>
      <c r="C8" s="221" t="s">
        <v>679</v>
      </c>
      <c r="D8" s="71"/>
    </row>
    <row r="9" spans="1:4" x14ac:dyDescent="0.25">
      <c r="A9" s="207" t="s">
        <v>685</v>
      </c>
      <c r="B9" s="212" t="s">
        <v>684</v>
      </c>
      <c r="C9" s="222">
        <f>C21</f>
        <v>0.10183921568627441</v>
      </c>
      <c r="D9" s="71"/>
    </row>
    <row r="10" spans="1:4" x14ac:dyDescent="0.25">
      <c r="A10" s="207"/>
      <c r="B10" s="212"/>
      <c r="C10" s="221" t="str">
        <f>"+"</f>
        <v>+</v>
      </c>
      <c r="D10" s="71"/>
    </row>
    <row r="11" spans="1:4" x14ac:dyDescent="0.25">
      <c r="A11" s="207" t="s">
        <v>515</v>
      </c>
      <c r="B11" s="212" t="s">
        <v>683</v>
      </c>
      <c r="C11" s="220">
        <f ca="1">Финансы!D22</f>
        <v>95000</v>
      </c>
      <c r="D11" s="226" t="str" cm="1">
        <f t="array" aca="1" ref="D11" ca="1">HYPERLINK(CELL("адрес",Финансы!D22),"источник")</f>
        <v>источник</v>
      </c>
    </row>
    <row r="12" spans="1:4" x14ac:dyDescent="0.25">
      <c r="A12" s="207"/>
      <c r="B12" s="212"/>
      <c r="C12" s="221" t="str">
        <f>"/"</f>
        <v>/</v>
      </c>
      <c r="D12" s="71"/>
    </row>
    <row r="13" spans="1:4" x14ac:dyDescent="0.25">
      <c r="A13" s="207" t="s">
        <v>682</v>
      </c>
      <c r="B13" s="212" t="s">
        <v>66</v>
      </c>
      <c r="C13" s="220">
        <f ca="1">C7</f>
        <v>125000</v>
      </c>
      <c r="D13" s="71"/>
    </row>
    <row r="14" spans="1:4" x14ac:dyDescent="0.25">
      <c r="A14" s="207"/>
      <c r="B14" s="212"/>
      <c r="C14" s="221" t="s">
        <v>679</v>
      </c>
      <c r="D14" s="71"/>
    </row>
    <row r="15" spans="1:4" x14ac:dyDescent="0.25">
      <c r="A15" s="207" t="s">
        <v>681</v>
      </c>
      <c r="B15" s="212" t="s">
        <v>680</v>
      </c>
      <c r="C15" s="222">
        <f ca="1">B29</f>
        <v>0.12</v>
      </c>
      <c r="D15" s="71"/>
    </row>
    <row r="16" spans="1:4" x14ac:dyDescent="0.25">
      <c r="A16" s="207"/>
      <c r="B16" s="212"/>
      <c r="C16" s="221" t="s">
        <v>679</v>
      </c>
      <c r="D16" s="71"/>
    </row>
    <row r="17" spans="1:14" x14ac:dyDescent="0.25">
      <c r="A17" s="207" t="s">
        <v>678</v>
      </c>
      <c r="B17" s="212" t="s">
        <v>677</v>
      </c>
      <c r="C17" s="222">
        <f ca="1">1-B34</f>
        <v>0.97722222222222221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1:14" x14ac:dyDescent="0.25">
      <c r="A18" s="207"/>
      <c r="B18" s="212"/>
      <c r="C18" s="221" t="str">
        <f>"="</f>
        <v>=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x14ac:dyDescent="0.25">
      <c r="A19" s="206" t="s">
        <v>370</v>
      </c>
      <c r="B19" s="206"/>
      <c r="C19" s="219">
        <f ca="1">C5/C7*C9+C11/C13*C15*C17</f>
        <v>0.11356407843137253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1:14" x14ac:dyDescent="0.25">
      <c r="A20" s="208"/>
      <c r="B20" s="208"/>
      <c r="C20" s="223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1:14" x14ac:dyDescent="0.25">
      <c r="A21" s="209" t="s">
        <v>374</v>
      </c>
      <c r="B21" s="213"/>
      <c r="C21" s="216">
        <f>(1+C22+C24*C23+C25+C26)*(1+0.04)/(1+0.02)-1</f>
        <v>0.10183921568627441</v>
      </c>
      <c r="D21" s="209" t="s">
        <v>383</v>
      </c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x14ac:dyDescent="0.25">
      <c r="A22" s="210" t="s">
        <v>676</v>
      </c>
      <c r="B22" s="214"/>
      <c r="C22" s="204">
        <v>4.19E-2</v>
      </c>
      <c r="D22" s="210" t="s">
        <v>384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x14ac:dyDescent="0.25">
      <c r="A23" s="210" t="s">
        <v>376</v>
      </c>
      <c r="B23" s="214"/>
      <c r="C23" s="204">
        <v>4.4999999999999998E-2</v>
      </c>
      <c r="D23" s="210" t="s">
        <v>385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x14ac:dyDescent="0.25">
      <c r="A24" s="210" t="s">
        <v>378</v>
      </c>
      <c r="B24" s="214"/>
      <c r="C24" s="224">
        <v>0.75</v>
      </c>
      <c r="D24" s="210" t="s">
        <v>386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x14ac:dyDescent="0.25">
      <c r="A25" s="210" t="s">
        <v>379</v>
      </c>
      <c r="B25" s="214"/>
      <c r="C25" s="204">
        <v>0</v>
      </c>
      <c r="D25" s="210" t="s">
        <v>385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x14ac:dyDescent="0.25">
      <c r="A26" s="210" t="s">
        <v>380</v>
      </c>
      <c r="B26" s="214"/>
      <c r="C26" s="204">
        <v>5.0000000000000001E-3</v>
      </c>
      <c r="D26" s="210" t="s">
        <v>385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1:14" x14ac:dyDescent="0.25">
      <c r="A27" s="208"/>
      <c r="B27" s="215"/>
      <c r="C27" s="223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1:14" customFormat="1" x14ac:dyDescent="0.2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1:14" customFormat="1" x14ac:dyDescent="0.25">
      <c r="A29" s="209" t="s">
        <v>675</v>
      </c>
      <c r="B29" s="216">
        <f ca="1">SUMPRODUCT(E30:N30,E31:N31)/SUM(E30:N30)</f>
        <v>0.12</v>
      </c>
      <c r="C29" s="209"/>
      <c r="D29" s="209" t="s">
        <v>674</v>
      </c>
      <c r="E29" s="202">
        <v>2025</v>
      </c>
      <c r="F29" s="202">
        <v>2026</v>
      </c>
      <c r="G29" s="202">
        <v>2027</v>
      </c>
      <c r="H29" s="202">
        <v>2028</v>
      </c>
      <c r="I29" s="202">
        <v>2029</v>
      </c>
      <c r="J29" s="202">
        <v>2030</v>
      </c>
      <c r="K29" s="202">
        <v>2031</v>
      </c>
      <c r="L29" s="202">
        <v>2032</v>
      </c>
      <c r="M29" s="202">
        <v>2033</v>
      </c>
      <c r="N29" s="202">
        <v>2034</v>
      </c>
    </row>
    <row r="30" spans="1:14" customFormat="1" x14ac:dyDescent="0.25">
      <c r="A30" s="210"/>
      <c r="B30" s="210"/>
      <c r="C30" s="71"/>
      <c r="D30" s="210" t="s">
        <v>673</v>
      </c>
      <c r="E30" s="203">
        <f ca="1">(Финансы!F21+Финансы!F24)/2</f>
        <v>0</v>
      </c>
      <c r="F30" s="203">
        <f ca="1">(Финансы!G21+Финансы!G24)/2</f>
        <v>47500</v>
      </c>
      <c r="G30" s="203">
        <f ca="1">(Финансы!H21+Финансы!H24)/2</f>
        <v>89062.5</v>
      </c>
      <c r="H30" s="203">
        <f ca="1">(Финансы!I21+Финансы!I24)/2</f>
        <v>77187.5</v>
      </c>
      <c r="I30" s="203">
        <f ca="1">(Финансы!J21+Финансы!J24)/2</f>
        <v>65312.5</v>
      </c>
      <c r="J30" s="203">
        <f ca="1">(Финансы!K21+Финансы!K24)/2</f>
        <v>53437.5</v>
      </c>
      <c r="K30" s="203">
        <f ca="1">(Финансы!L21+Финансы!L24)/2</f>
        <v>41562.5</v>
      </c>
      <c r="L30" s="203">
        <f ca="1">(Финансы!M21+Финансы!M24)/2</f>
        <v>29687.5</v>
      </c>
      <c r="M30" s="203">
        <f ca="1">(Финансы!N21+Финансы!N24)/2</f>
        <v>17812.5</v>
      </c>
      <c r="N30" s="203">
        <f ca="1">(Финансы!O21+Финансы!O24)/2</f>
        <v>5937.5</v>
      </c>
    </row>
    <row r="31" spans="1:14" customFormat="1" x14ac:dyDescent="0.25">
      <c r="A31" s="210"/>
      <c r="B31" s="71"/>
      <c r="C31" s="71"/>
      <c r="D31" s="210" t="s">
        <v>672</v>
      </c>
      <c r="E31" s="204">
        <f>Финансы!F30</f>
        <v>0.12</v>
      </c>
      <c r="F31" s="204">
        <f>Финансы!G30</f>
        <v>0.12</v>
      </c>
      <c r="G31" s="204">
        <f>Финансы!H30</f>
        <v>0.12</v>
      </c>
      <c r="H31" s="204">
        <f>Финансы!I30</f>
        <v>0.12</v>
      </c>
      <c r="I31" s="204">
        <f>Финансы!J30</f>
        <v>0.12</v>
      </c>
      <c r="J31" s="204">
        <f>Финансы!K30</f>
        <v>0.12</v>
      </c>
      <c r="K31" s="204">
        <f>Финансы!L30</f>
        <v>0.12</v>
      </c>
      <c r="L31" s="204">
        <f>Финансы!M30</f>
        <v>0.12</v>
      </c>
      <c r="M31" s="204">
        <f>Финансы!N30</f>
        <v>0.12</v>
      </c>
      <c r="N31" s="204">
        <f>Финансы!O30</f>
        <v>0.12</v>
      </c>
    </row>
    <row r="32" spans="1:14" customFormat="1" x14ac:dyDescent="0.25">
      <c r="A32" s="210"/>
      <c r="B32" s="71"/>
      <c r="C32" s="71"/>
      <c r="D32" s="227" t="s">
        <v>671</v>
      </c>
      <c r="E32" s="204"/>
      <c r="F32" s="204"/>
      <c r="G32" s="204"/>
      <c r="H32" s="204"/>
      <c r="I32" s="204"/>
      <c r="J32" s="204"/>
      <c r="K32" s="204"/>
      <c r="L32" s="204"/>
      <c r="M32" s="204"/>
      <c r="N32" s="204"/>
    </row>
    <row r="33" spans="1:14" customFormat="1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customFormat="1" x14ac:dyDescent="0.25">
      <c r="A34" s="209" t="s">
        <v>670</v>
      </c>
      <c r="B34" s="216">
        <f ca="1">SUMPRODUCT(E35:N35,E36:N36)/SUM(E35:N35)</f>
        <v>2.2777777777777779E-2</v>
      </c>
      <c r="C34" s="209"/>
      <c r="D34" s="209" t="s">
        <v>669</v>
      </c>
      <c r="E34" s="202">
        <f t="shared" ref="E34:N34" si="0">E29</f>
        <v>2025</v>
      </c>
      <c r="F34" s="202">
        <f t="shared" si="0"/>
        <v>2026</v>
      </c>
      <c r="G34" s="202">
        <f t="shared" si="0"/>
        <v>2027</v>
      </c>
      <c r="H34" s="202">
        <f t="shared" si="0"/>
        <v>2028</v>
      </c>
      <c r="I34" s="202">
        <f t="shared" si="0"/>
        <v>2029</v>
      </c>
      <c r="J34" s="202">
        <f t="shared" si="0"/>
        <v>2030</v>
      </c>
      <c r="K34" s="202">
        <f t="shared" si="0"/>
        <v>2031</v>
      </c>
      <c r="L34" s="202">
        <f t="shared" si="0"/>
        <v>2032</v>
      </c>
      <c r="M34" s="202">
        <f t="shared" si="0"/>
        <v>2033</v>
      </c>
      <c r="N34" s="202">
        <f t="shared" si="0"/>
        <v>2034</v>
      </c>
    </row>
    <row r="35" spans="1:14" customFormat="1" x14ac:dyDescent="0.25">
      <c r="A35" s="210"/>
      <c r="B35" s="210"/>
      <c r="C35" s="71"/>
      <c r="D35" s="210" t="s">
        <v>668</v>
      </c>
      <c r="E35" s="203">
        <f ca="1">Финансы!F26</f>
        <v>0</v>
      </c>
      <c r="F35" s="203">
        <f ca="1">Финансы!G26</f>
        <v>5700</v>
      </c>
      <c r="G35" s="203">
        <f ca="1">Финансы!H26</f>
        <v>10687.5</v>
      </c>
      <c r="H35" s="203">
        <f ca="1">Финансы!I26</f>
        <v>9262.5</v>
      </c>
      <c r="I35" s="203">
        <f ca="1">Финансы!J26</f>
        <v>7837.5</v>
      </c>
      <c r="J35" s="203">
        <f ca="1">Финансы!K26</f>
        <v>6412.5</v>
      </c>
      <c r="K35" s="203">
        <f ca="1">Финансы!L26</f>
        <v>4987.5</v>
      </c>
      <c r="L35" s="203">
        <f ca="1">Финансы!M26</f>
        <v>3562.5</v>
      </c>
      <c r="M35" s="203">
        <f ca="1">Финансы!N26</f>
        <v>2137.5</v>
      </c>
      <c r="N35" s="203">
        <f ca="1">Финансы!O26</f>
        <v>712.5</v>
      </c>
    </row>
    <row r="36" spans="1:14" customFormat="1" x14ac:dyDescent="0.25">
      <c r="A36" s="210"/>
      <c r="B36" s="210"/>
      <c r="C36" s="71"/>
      <c r="D36" s="210" t="s">
        <v>667</v>
      </c>
      <c r="E36" s="204">
        <v>0.02</v>
      </c>
      <c r="F36" s="204">
        <v>0.02</v>
      </c>
      <c r="G36" s="204">
        <v>0.02</v>
      </c>
      <c r="H36" s="204">
        <v>0.02</v>
      </c>
      <c r="I36" s="204">
        <v>0.02</v>
      </c>
      <c r="J36" s="204">
        <v>0.02</v>
      </c>
      <c r="K36" s="204">
        <v>0.02</v>
      </c>
      <c r="L36" s="204">
        <v>0.02</v>
      </c>
      <c r="M36" s="204">
        <v>7.0000000000000007E-2</v>
      </c>
      <c r="N36" s="204">
        <v>7.0000000000000007E-2</v>
      </c>
    </row>
    <row r="37" spans="1:14" customFormat="1" x14ac:dyDescent="0.25">
      <c r="A37" s="21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1:14" customFormat="1" x14ac:dyDescent="0.2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1:14" customFormat="1" x14ac:dyDescent="0.2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1:14" customFormat="1" x14ac:dyDescent="0.25">
      <c r="A40" s="211" t="s">
        <v>370</v>
      </c>
      <c r="B40" s="131">
        <f ca="1">C19</f>
        <v>0.11356407843137253</v>
      </c>
      <c r="C40" s="71"/>
      <c r="D40" s="149"/>
      <c r="E40" s="149"/>
      <c r="F40" s="71"/>
      <c r="G40" s="71"/>
      <c r="H40" s="71"/>
      <c r="I40" s="71"/>
      <c r="J40" s="71"/>
      <c r="K40" s="71"/>
      <c r="L40" s="71"/>
      <c r="M40" s="71"/>
      <c r="N40" s="71"/>
    </row>
    <row r="41" spans="1:14" customFormat="1" x14ac:dyDescent="0.25">
      <c r="A41" s="211" t="s">
        <v>371</v>
      </c>
      <c r="B41" s="131">
        <v>9.8882352941176199E-2</v>
      </c>
      <c r="C41" s="71"/>
      <c r="D41" s="149"/>
      <c r="E41" s="149"/>
      <c r="F41" s="71"/>
      <c r="G41" s="71"/>
      <c r="H41" s="71"/>
      <c r="I41" s="71"/>
      <c r="J41" s="71"/>
      <c r="K41" s="71"/>
      <c r="L41" s="71"/>
      <c r="M41" s="71"/>
      <c r="N41" s="71"/>
    </row>
    <row r="42" spans="1:14" customFormat="1" x14ac:dyDescent="0.25">
      <c r="A42" s="211" t="s">
        <v>372</v>
      </c>
      <c r="B42" s="131">
        <v>9.5920000000000005E-2</v>
      </c>
      <c r="C42" s="71"/>
      <c r="D42" s="149"/>
      <c r="E42" s="149"/>
      <c r="F42" s="71"/>
      <c r="G42" s="71"/>
      <c r="H42" s="71"/>
      <c r="I42" s="71"/>
      <c r="J42" s="71"/>
      <c r="K42" s="71"/>
      <c r="L42" s="71"/>
      <c r="M42" s="71"/>
      <c r="N42" s="71"/>
    </row>
    <row r="43" spans="1:14" customFormat="1" x14ac:dyDescent="0.25">
      <c r="A43" s="211" t="s">
        <v>373</v>
      </c>
      <c r="B43" s="131">
        <v>0.73464590067587421</v>
      </c>
      <c r="C43" s="71"/>
      <c r="D43" s="149"/>
      <c r="E43" s="149"/>
      <c r="F43" s="71"/>
      <c r="G43" s="71"/>
      <c r="H43" s="71"/>
      <c r="I43" s="71"/>
      <c r="J43" s="71"/>
      <c r="K43" s="71"/>
      <c r="L43" s="71"/>
      <c r="M43" s="71"/>
      <c r="N43" s="71"/>
    </row>
    <row r="44" spans="1:14" customFormat="1" x14ac:dyDescent="0.25">
      <c r="A44" s="211"/>
      <c r="B44" s="149"/>
      <c r="C44" s="71"/>
      <c r="D44" s="149"/>
      <c r="E44" s="149"/>
      <c r="F44" s="71"/>
      <c r="G44" s="71"/>
      <c r="H44" s="71"/>
      <c r="I44" s="71"/>
      <c r="J44" s="71"/>
      <c r="K44" s="71"/>
      <c r="L44" s="71"/>
      <c r="M44" s="71"/>
      <c r="N44" s="71"/>
    </row>
    <row r="45" spans="1:14" customFormat="1" x14ac:dyDescent="0.25">
      <c r="A45" s="211" t="s">
        <v>374</v>
      </c>
      <c r="B45" s="131">
        <v>9.8882352941176199E-2</v>
      </c>
      <c r="C45" s="71"/>
      <c r="D45" s="149" t="s">
        <v>383</v>
      </c>
      <c r="E45" s="149"/>
      <c r="F45" s="71"/>
      <c r="G45" s="71"/>
      <c r="H45" s="71"/>
      <c r="I45" s="71"/>
      <c r="J45" s="71"/>
      <c r="K45" s="71"/>
      <c r="L45" s="71"/>
      <c r="M45" s="71"/>
      <c r="N45" s="71"/>
    </row>
    <row r="46" spans="1:14" customFormat="1" x14ac:dyDescent="0.25">
      <c r="A46" s="211" t="s">
        <v>375</v>
      </c>
      <c r="B46" s="131">
        <v>3.9E-2</v>
      </c>
      <c r="C46" s="71"/>
      <c r="D46" s="149" t="s">
        <v>384</v>
      </c>
      <c r="E46" s="149"/>
      <c r="F46" s="71"/>
      <c r="G46" s="71"/>
      <c r="H46" s="71"/>
      <c r="I46" s="71"/>
      <c r="J46" s="71"/>
      <c r="K46" s="71"/>
      <c r="L46" s="71"/>
      <c r="M46" s="71"/>
      <c r="N46" s="71"/>
    </row>
    <row r="47" spans="1:14" customFormat="1" x14ac:dyDescent="0.25">
      <c r="A47" s="149" t="s">
        <v>376</v>
      </c>
      <c r="B47" s="131">
        <v>4.4999999999999998E-2</v>
      </c>
      <c r="C47" s="71"/>
      <c r="D47" s="149" t="s">
        <v>385</v>
      </c>
      <c r="E47" s="149"/>
      <c r="F47" s="71"/>
      <c r="G47" s="71"/>
      <c r="H47" s="71"/>
      <c r="I47" s="71"/>
      <c r="J47" s="71"/>
      <c r="K47" s="71"/>
      <c r="L47" s="71"/>
      <c r="M47" s="71"/>
      <c r="N47" s="71"/>
    </row>
    <row r="48" spans="1:14" customFormat="1" x14ac:dyDescent="0.25">
      <c r="A48" s="149" t="s">
        <v>377</v>
      </c>
      <c r="B48" s="217">
        <v>0.75</v>
      </c>
      <c r="C48" s="71"/>
      <c r="D48" s="149" t="s">
        <v>386</v>
      </c>
      <c r="E48" s="149"/>
      <c r="F48" s="71"/>
      <c r="G48" s="71"/>
      <c r="H48" s="71"/>
      <c r="I48" s="71"/>
      <c r="J48" s="71"/>
      <c r="K48" s="71"/>
      <c r="L48" s="71"/>
      <c r="M48" s="71"/>
      <c r="N48" s="71"/>
    </row>
    <row r="49" spans="1:5" customFormat="1" x14ac:dyDescent="0.25">
      <c r="A49" s="149" t="s">
        <v>378</v>
      </c>
      <c r="B49" s="217">
        <v>0.75</v>
      </c>
      <c r="C49" s="71"/>
      <c r="D49" s="149" t="s">
        <v>386</v>
      </c>
      <c r="E49" s="149"/>
    </row>
    <row r="50" spans="1:5" customFormat="1" x14ac:dyDescent="0.25">
      <c r="A50" s="149" t="s">
        <v>379</v>
      </c>
      <c r="B50" s="131">
        <v>0</v>
      </c>
      <c r="C50" s="71"/>
      <c r="D50" s="149" t="s">
        <v>385</v>
      </c>
      <c r="E50" s="149"/>
    </row>
    <row r="51" spans="1:5" customFormat="1" x14ac:dyDescent="0.25">
      <c r="A51" s="149" t="s">
        <v>380</v>
      </c>
      <c r="B51" s="131">
        <v>5.0000000000000001E-3</v>
      </c>
      <c r="C51" s="71"/>
      <c r="D51" s="149" t="s">
        <v>385</v>
      </c>
      <c r="E51" s="149"/>
    </row>
    <row r="52" spans="1:5" customFormat="1" x14ac:dyDescent="0.25">
      <c r="A52" s="149" t="s">
        <v>381</v>
      </c>
      <c r="B52" s="131">
        <v>9.5920000000000005E-2</v>
      </c>
      <c r="C52" s="71"/>
      <c r="D52" s="149" t="s">
        <v>386</v>
      </c>
      <c r="E52" s="149"/>
    </row>
    <row r="53" spans="1:5" customFormat="1" x14ac:dyDescent="0.25">
      <c r="A53" s="149" t="s">
        <v>382</v>
      </c>
      <c r="B53" s="131">
        <v>0.11990000000000001</v>
      </c>
      <c r="C53" s="71"/>
      <c r="D53" s="149" t="s">
        <v>387</v>
      </c>
      <c r="E53" s="149"/>
    </row>
    <row r="54" spans="1:5" customFormat="1" x14ac:dyDescent="0.25">
      <c r="A54" s="71"/>
      <c r="B54" s="71"/>
      <c r="C54" s="71"/>
      <c r="D54" s="71"/>
      <c r="E54" s="71"/>
    </row>
    <row r="55" spans="1:5" customFormat="1" x14ac:dyDescent="0.25">
      <c r="A55" s="71"/>
      <c r="B55" s="71"/>
      <c r="C55" s="71"/>
      <c r="D55" s="71"/>
      <c r="E55" s="71"/>
    </row>
    <row r="56" spans="1:5" customFormat="1" x14ac:dyDescent="0.25">
      <c r="A56" s="71"/>
      <c r="B56" s="71"/>
      <c r="C56" s="71"/>
      <c r="D56" s="71"/>
      <c r="E56" s="71"/>
    </row>
    <row r="57" spans="1:5" customFormat="1" x14ac:dyDescent="0.25">
      <c r="A57" s="71"/>
      <c r="B57" s="71"/>
      <c r="C57" s="71"/>
      <c r="D57" s="71"/>
      <c r="E57" s="71"/>
    </row>
    <row r="58" spans="1:5" customFormat="1" x14ac:dyDescent="0.25">
      <c r="A58" s="71"/>
      <c r="B58" s="71"/>
      <c r="C58" s="71"/>
      <c r="D58" s="71"/>
      <c r="E58" s="71"/>
    </row>
    <row r="59" spans="1:5" customFormat="1" x14ac:dyDescent="0.25">
      <c r="A59" s="71"/>
      <c r="B59" s="71"/>
      <c r="C59" s="71"/>
      <c r="D59" s="71"/>
      <c r="E59" s="71"/>
    </row>
    <row r="60" spans="1:5" customFormat="1" x14ac:dyDescent="0.25">
      <c r="A60" s="71"/>
      <c r="B60" s="71"/>
      <c r="C60" s="71"/>
      <c r="D60" s="71"/>
      <c r="E60" s="71"/>
    </row>
    <row r="61" spans="1:5" customFormat="1" x14ac:dyDescent="0.25">
      <c r="A61" s="71"/>
      <c r="B61" s="71"/>
      <c r="C61" s="71"/>
      <c r="D61" s="71"/>
      <c r="E61" s="71"/>
    </row>
  </sheetData>
  <hyperlinks>
    <hyperlink ref="B2" location="Контроль!A1" display="Контроль!A1" xr:uid="{B3B28BAD-E81B-42EA-AA29-5736B0504349}"/>
  </hyperlinks>
  <pageMargins left="0.70866141732283472" right="0.70866141732283472" top="0.74803149606299213" bottom="0.74803149606299213" header="0.31496062992125984" footer="0.31496062992125984"/>
  <pageSetup paperSize="9" scale="56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1B65-027F-440E-987E-9A5D04807AD6}">
  <sheetPr codeName="Лист3">
    <tabColor theme="8" tint="0.79998168889431442"/>
    <outlinePr summaryBelow="0" summaryRight="0"/>
    <pageSetUpPr fitToPage="1"/>
  </sheetPr>
  <dimension ref="A1:BY77"/>
  <sheetViews>
    <sheetView zoomScale="115" zoomScaleNormal="115" workbookViewId="0">
      <pane xSplit="4" ySplit="3" topLeftCell="E4" activePane="bottomRight" state="frozen"/>
      <selection pane="topRight"/>
      <selection pane="bottomLeft"/>
      <selection pane="bottomRight" activeCell="H43" sqref="H43"/>
    </sheetView>
  </sheetViews>
  <sheetFormatPr defaultColWidth="0" defaultRowHeight="15" outlineLevelCol="1" x14ac:dyDescent="0.25"/>
  <cols>
    <col min="1" max="1" width="7" customWidth="1"/>
    <col min="2" max="2" width="29.85546875" style="2" customWidth="1"/>
    <col min="3" max="3" width="11" style="20" customWidth="1"/>
    <col min="4" max="4" width="10.140625" customWidth="1"/>
    <col min="5" max="5" width="2.28515625" customWidth="1"/>
    <col min="6" max="16" width="8.85546875" customWidth="1"/>
    <col min="17" max="17" width="1.140625" customWidth="1"/>
    <col min="18" max="18" width="13.42578125" customWidth="1"/>
    <col min="19" max="19" width="1.7109375" customWidth="1"/>
    <col min="20" max="20" width="2.85546875" customWidth="1" collapsed="1"/>
    <col min="21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7" width="0" hidden="1" customWidth="1"/>
    <col min="78" max="16384" width="8.85546875" hidden="1"/>
  </cols>
  <sheetData>
    <row r="1" spans="1:31" ht="25.5" x14ac:dyDescent="0.25">
      <c r="A1" s="690" t="s">
        <v>691</v>
      </c>
      <c r="B1" s="167"/>
      <c r="C1" s="112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71"/>
      <c r="T1" s="158" t="s">
        <v>181</v>
      </c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x14ac:dyDescent="0.25">
      <c r="A2" s="71" t="str">
        <f>Паспорт_ФМ_резидент!B7</f>
        <v>Название инвест. проект 01</v>
      </c>
      <c r="B2" s="167"/>
      <c r="C2" s="112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26">
        <v>11</v>
      </c>
      <c r="Q2" s="71"/>
      <c r="R2" s="71"/>
      <c r="S2" s="71"/>
      <c r="T2" s="159"/>
      <c r="U2" s="162">
        <f>P2+1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42.75" x14ac:dyDescent="0.25">
      <c r="A3" s="127" t="s">
        <v>2</v>
      </c>
      <c r="B3" s="236" t="s">
        <v>3</v>
      </c>
      <c r="C3" s="127" t="s">
        <v>12</v>
      </c>
      <c r="D3" s="199" t="str">
        <f>CONCATENATE("Итого ",F3,"-",P3)</f>
        <v>Итого 2025-2035</v>
      </c>
      <c r="E3" s="155"/>
      <c r="F3" s="127">
        <f>YEAR(Паспорт_ФМ_резидент!C36)</f>
        <v>2025</v>
      </c>
      <c r="G3" s="127">
        <f t="shared" ref="G3:P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27">
        <f t="shared" si="1"/>
        <v>2035</v>
      </c>
      <c r="Q3" s="155"/>
      <c r="R3" s="127" t="s">
        <v>106</v>
      </c>
      <c r="S3" s="155"/>
      <c r="T3" s="160"/>
      <c r="U3" s="163">
        <f>P3+1</f>
        <v>2036</v>
      </c>
      <c r="V3" s="163">
        <f>U3+1</f>
        <v>2037</v>
      </c>
      <c r="W3" s="163">
        <f t="shared" si="0"/>
        <v>2038</v>
      </c>
      <c r="X3" s="163">
        <f t="shared" si="0"/>
        <v>2039</v>
      </c>
      <c r="Y3" s="163">
        <f t="shared" si="0"/>
        <v>2040</v>
      </c>
      <c r="Z3" s="163">
        <f t="shared" si="0"/>
        <v>2041</v>
      </c>
      <c r="AA3" s="163">
        <f t="shared" si="0"/>
        <v>2042</v>
      </c>
      <c r="AB3" s="163">
        <f t="shared" si="0"/>
        <v>2043</v>
      </c>
      <c r="AC3" s="163">
        <f t="shared" si="0"/>
        <v>2044</v>
      </c>
      <c r="AD3" s="155"/>
      <c r="AE3" s="236" t="s">
        <v>202</v>
      </c>
    </row>
    <row r="4" spans="1:31" x14ac:dyDescent="0.25">
      <c r="A4" s="149"/>
      <c r="B4" s="178"/>
      <c r="C4" s="242"/>
      <c r="D4" s="149"/>
      <c r="E4" s="7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71"/>
      <c r="R4" s="149"/>
      <c r="S4" s="71"/>
      <c r="T4" s="159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9"/>
    </row>
    <row r="5" spans="1:31" ht="15.75" x14ac:dyDescent="0.25">
      <c r="A5" s="830" t="s">
        <v>733</v>
      </c>
      <c r="B5" s="831"/>
      <c r="C5" s="831"/>
      <c r="D5" s="832"/>
      <c r="E5" s="71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71"/>
      <c r="R5" s="157"/>
      <c r="S5" s="71"/>
      <c r="T5" s="159"/>
      <c r="U5" s="71"/>
      <c r="V5" s="71"/>
      <c r="W5" s="71"/>
      <c r="X5" s="71"/>
      <c r="Y5" s="71"/>
      <c r="Z5" s="71"/>
      <c r="AA5" s="71"/>
      <c r="AB5" s="71"/>
      <c r="AC5" s="71"/>
      <c r="AD5" s="71"/>
      <c r="AE5" s="157"/>
    </row>
    <row r="6" spans="1:31" x14ac:dyDescent="0.25">
      <c r="A6" s="149"/>
      <c r="B6" s="183" t="s">
        <v>203</v>
      </c>
      <c r="C6" s="242"/>
      <c r="D6" s="149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149"/>
      <c r="S6" s="71"/>
      <c r="T6" s="159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9"/>
    </row>
    <row r="7" spans="1:31" x14ac:dyDescent="0.25">
      <c r="A7" s="149"/>
      <c r="B7" s="730" t="s">
        <v>205</v>
      </c>
      <c r="C7" s="242"/>
      <c r="D7" s="149"/>
      <c r="E7" s="71"/>
      <c r="F7" s="728">
        <v>45736</v>
      </c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1"/>
      <c r="R7" s="149"/>
      <c r="S7" s="71"/>
      <c r="T7" s="159"/>
      <c r="U7" s="71"/>
      <c r="V7" s="71"/>
      <c r="W7" s="71"/>
      <c r="X7" s="71"/>
      <c r="Y7" s="71"/>
      <c r="Z7" s="71"/>
      <c r="AA7" s="71"/>
      <c r="AB7" s="71"/>
      <c r="AC7" s="71"/>
      <c r="AD7" s="71"/>
      <c r="AE7" s="149"/>
    </row>
    <row r="8" spans="1:31" x14ac:dyDescent="0.25">
      <c r="A8" s="149"/>
      <c r="B8" s="730" t="s">
        <v>206</v>
      </c>
      <c r="C8" s="242"/>
      <c r="D8" s="149"/>
      <c r="E8" s="71"/>
      <c r="F8" s="728">
        <v>45748</v>
      </c>
      <c r="G8" s="728">
        <v>46203</v>
      </c>
      <c r="H8" s="729"/>
      <c r="I8" s="729"/>
      <c r="J8" s="729"/>
      <c r="K8" s="729"/>
      <c r="L8" s="729"/>
      <c r="M8" s="729"/>
      <c r="N8" s="729"/>
      <c r="O8" s="729"/>
      <c r="P8" s="729"/>
      <c r="Q8" s="71"/>
      <c r="R8" s="149"/>
      <c r="S8" s="71"/>
      <c r="T8" s="159"/>
      <c r="U8" s="71"/>
      <c r="V8" s="71"/>
      <c r="W8" s="71"/>
      <c r="X8" s="71"/>
      <c r="Y8" s="71"/>
      <c r="Z8" s="71"/>
      <c r="AA8" s="71"/>
      <c r="AB8" s="71"/>
      <c r="AC8" s="71"/>
      <c r="AD8" s="71"/>
      <c r="AE8" s="149"/>
    </row>
    <row r="9" spans="1:31" x14ac:dyDescent="0.25">
      <c r="A9" s="149"/>
      <c r="B9" s="730" t="s">
        <v>207</v>
      </c>
      <c r="C9" s="242"/>
      <c r="D9" s="149"/>
      <c r="E9" s="71"/>
      <c r="F9" s="728">
        <v>45901</v>
      </c>
      <c r="G9" s="728">
        <v>46234</v>
      </c>
      <c r="H9" s="729"/>
      <c r="I9" s="729"/>
      <c r="J9" s="729"/>
      <c r="K9" s="729"/>
      <c r="L9" s="729"/>
      <c r="M9" s="729"/>
      <c r="N9" s="729"/>
      <c r="O9" s="729"/>
      <c r="P9" s="729"/>
      <c r="Q9" s="71"/>
      <c r="R9" s="149"/>
      <c r="S9" s="71"/>
      <c r="T9" s="159"/>
      <c r="U9" s="71"/>
      <c r="V9" s="71"/>
      <c r="W9" s="71"/>
      <c r="X9" s="71"/>
      <c r="Y9" s="71"/>
      <c r="Z9" s="71"/>
      <c r="AA9" s="71"/>
      <c r="AB9" s="71"/>
      <c r="AC9" s="71"/>
      <c r="AD9" s="71"/>
      <c r="AE9" s="149"/>
    </row>
    <row r="10" spans="1:31" ht="30" x14ac:dyDescent="0.25">
      <c r="A10" s="149"/>
      <c r="B10" s="730" t="s">
        <v>209</v>
      </c>
      <c r="C10" s="242"/>
      <c r="D10" s="149"/>
      <c r="E10" s="71"/>
      <c r="F10" s="729"/>
      <c r="G10" s="728">
        <v>46295</v>
      </c>
      <c r="H10" s="729"/>
      <c r="I10" s="729"/>
      <c r="J10" s="729"/>
      <c r="K10" s="729"/>
      <c r="L10" s="729"/>
      <c r="M10" s="729"/>
      <c r="N10" s="729"/>
      <c r="O10" s="729"/>
      <c r="P10" s="729"/>
      <c r="Q10" s="71"/>
      <c r="R10" s="149"/>
      <c r="S10" s="71"/>
      <c r="T10" s="159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9"/>
    </row>
    <row r="11" spans="1:31" x14ac:dyDescent="0.25">
      <c r="A11" s="149"/>
      <c r="B11" s="178"/>
      <c r="C11" s="242"/>
      <c r="D11" s="149"/>
      <c r="E11" s="71"/>
      <c r="F11" s="729"/>
      <c r="G11" s="729"/>
      <c r="H11" s="729"/>
      <c r="I11" s="729"/>
      <c r="J11" s="729"/>
      <c r="K11" s="729"/>
      <c r="L11" s="729"/>
      <c r="M11" s="729"/>
      <c r="N11" s="729"/>
      <c r="O11" s="729"/>
      <c r="P11" s="729"/>
      <c r="Q11" s="71"/>
      <c r="R11" s="149"/>
      <c r="S11" s="71"/>
      <c r="T11" s="159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9"/>
    </row>
    <row r="12" spans="1:31" x14ac:dyDescent="0.25">
      <c r="A12" s="149"/>
      <c r="B12" s="183" t="s">
        <v>204</v>
      </c>
      <c r="C12" s="242"/>
      <c r="D12" s="149"/>
      <c r="E12" s="71"/>
      <c r="F12" s="729"/>
      <c r="G12" s="729"/>
      <c r="H12" s="729"/>
      <c r="I12" s="729"/>
      <c r="J12" s="729"/>
      <c r="K12" s="729"/>
      <c r="L12" s="729"/>
      <c r="M12" s="729"/>
      <c r="N12" s="729"/>
      <c r="O12" s="729"/>
      <c r="P12" s="729"/>
      <c r="Q12" s="71"/>
      <c r="R12" s="149"/>
      <c r="S12" s="71"/>
      <c r="T12" s="159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9"/>
    </row>
    <row r="13" spans="1:31" x14ac:dyDescent="0.25">
      <c r="A13" s="149"/>
      <c r="B13" s="178" t="s">
        <v>208</v>
      </c>
      <c r="C13" s="242"/>
      <c r="D13" s="149"/>
      <c r="E13" s="71"/>
      <c r="F13" s="729"/>
      <c r="G13" s="728">
        <v>46296</v>
      </c>
      <c r="H13" s="728"/>
      <c r="I13" s="728"/>
      <c r="J13" s="728"/>
      <c r="K13" s="728"/>
      <c r="L13" s="728"/>
      <c r="M13" s="728"/>
      <c r="N13" s="728"/>
      <c r="O13" s="728"/>
      <c r="P13" s="728"/>
      <c r="Q13" s="71"/>
      <c r="R13" s="149"/>
      <c r="S13" s="71"/>
      <c r="T13" s="159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149"/>
    </row>
    <row r="14" spans="1:31" x14ac:dyDescent="0.25">
      <c r="A14" s="149"/>
      <c r="B14" s="178"/>
      <c r="C14" s="242"/>
      <c r="D14" s="149"/>
      <c r="E14" s="71"/>
      <c r="F14" s="729"/>
      <c r="G14" s="729"/>
      <c r="H14" s="729"/>
      <c r="I14" s="729"/>
      <c r="J14" s="729"/>
      <c r="K14" s="729"/>
      <c r="L14" s="729"/>
      <c r="M14" s="729"/>
      <c r="N14" s="729"/>
      <c r="O14" s="729"/>
      <c r="P14" s="729"/>
      <c r="Q14" s="71"/>
      <c r="R14" s="149"/>
      <c r="S14" s="71"/>
      <c r="T14" s="159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49"/>
    </row>
    <row r="15" spans="1:31" x14ac:dyDescent="0.25">
      <c r="A15" s="149"/>
      <c r="B15" s="178"/>
      <c r="C15" s="242"/>
      <c r="D15" s="149"/>
      <c r="E15" s="71"/>
      <c r="F15" s="729"/>
      <c r="G15" s="729"/>
      <c r="H15" s="729"/>
      <c r="I15" s="729"/>
      <c r="J15" s="729"/>
      <c r="K15" s="729"/>
      <c r="L15" s="729"/>
      <c r="M15" s="729"/>
      <c r="N15" s="729"/>
      <c r="O15" s="729"/>
      <c r="P15" s="729"/>
      <c r="Q15" s="71"/>
      <c r="R15" s="149"/>
      <c r="S15" s="71"/>
      <c r="T15" s="159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149"/>
    </row>
    <row r="16" spans="1:31" x14ac:dyDescent="0.25">
      <c r="A16" s="149"/>
      <c r="B16" s="178"/>
      <c r="C16" s="242"/>
      <c r="D16" s="149"/>
      <c r="E16" s="71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71"/>
      <c r="R16" s="149"/>
      <c r="S16" s="71"/>
      <c r="T16" s="15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9"/>
    </row>
    <row r="17" spans="1:31" ht="15.75" thickBot="1" x14ac:dyDescent="0.3">
      <c r="A17" s="132"/>
      <c r="B17" s="179"/>
      <c r="C17" s="192"/>
      <c r="D17" s="132"/>
      <c r="E17" s="71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71"/>
      <c r="R17" s="132"/>
      <c r="S17" s="71"/>
      <c r="T17" s="159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32"/>
    </row>
    <row r="18" spans="1:31" x14ac:dyDescent="0.25">
      <c r="A18" s="149"/>
      <c r="B18" s="178"/>
      <c r="C18" s="242"/>
      <c r="D18" s="149"/>
      <c r="E18" s="71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71"/>
      <c r="R18" s="149"/>
      <c r="S18" s="71"/>
      <c r="T18" s="159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9"/>
    </row>
    <row r="19" spans="1:31" s="13" customFormat="1" ht="15.75" x14ac:dyDescent="0.25">
      <c r="A19" s="836" t="s">
        <v>734</v>
      </c>
      <c r="B19" s="837"/>
      <c r="C19" s="837"/>
      <c r="D19" s="839"/>
      <c r="E19" s="123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3"/>
      <c r="R19" s="129"/>
      <c r="S19" s="123"/>
      <c r="T19" s="159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29"/>
    </row>
    <row r="20" spans="1:31" x14ac:dyDescent="0.25">
      <c r="A20" s="149"/>
      <c r="B20" s="178"/>
      <c r="C20" s="242"/>
      <c r="D20" s="149"/>
      <c r="E20" s="71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71"/>
      <c r="R20" s="149"/>
      <c r="S20" s="71"/>
      <c r="T20" s="159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9"/>
    </row>
    <row r="21" spans="1:31" ht="57.75" x14ac:dyDescent="0.25">
      <c r="A21" s="71"/>
      <c r="B21" s="239" t="s">
        <v>217</v>
      </c>
      <c r="C21" s="243" t="s">
        <v>19</v>
      </c>
      <c r="D21" s="228">
        <f>SUM(D22:D35)</f>
        <v>90000</v>
      </c>
      <c r="E21" s="71"/>
      <c r="F21" s="228">
        <f t="shared" ref="F21:P21" si="2">SUM(F22:F35)</f>
        <v>22000</v>
      </c>
      <c r="G21" s="228">
        <f t="shared" si="2"/>
        <v>68000</v>
      </c>
      <c r="H21" s="228">
        <f t="shared" si="2"/>
        <v>0</v>
      </c>
      <c r="I21" s="228">
        <f t="shared" si="2"/>
        <v>0</v>
      </c>
      <c r="J21" s="228">
        <f t="shared" si="2"/>
        <v>0</v>
      </c>
      <c r="K21" s="228">
        <f t="shared" si="2"/>
        <v>0</v>
      </c>
      <c r="L21" s="228">
        <f t="shared" si="2"/>
        <v>0</v>
      </c>
      <c r="M21" s="228">
        <f t="shared" si="2"/>
        <v>0</v>
      </c>
      <c r="N21" s="228">
        <f t="shared" si="2"/>
        <v>0</v>
      </c>
      <c r="O21" s="228">
        <f t="shared" si="2"/>
        <v>0</v>
      </c>
      <c r="P21" s="228">
        <f t="shared" si="2"/>
        <v>0</v>
      </c>
      <c r="Q21" s="71"/>
      <c r="R21" s="149"/>
      <c r="S21" s="71"/>
      <c r="T21" s="159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49"/>
    </row>
    <row r="22" spans="1:31" x14ac:dyDescent="0.25">
      <c r="A22" s="71"/>
      <c r="B22" s="167" t="s">
        <v>218</v>
      </c>
      <c r="C22" s="243" t="s">
        <v>19</v>
      </c>
      <c r="D22" s="246">
        <f>SUM(F22:P22)</f>
        <v>55000</v>
      </c>
      <c r="E22" s="71"/>
      <c r="F22" s="143">
        <v>22000</v>
      </c>
      <c r="G22" s="143">
        <v>33000</v>
      </c>
      <c r="H22" s="143"/>
      <c r="I22" s="143"/>
      <c r="J22" s="143"/>
      <c r="K22" s="143"/>
      <c r="L22" s="143"/>
      <c r="M22" s="143"/>
      <c r="N22" s="143"/>
      <c r="O22" s="143"/>
      <c r="P22" s="143"/>
      <c r="Q22" s="71"/>
      <c r="R22" s="149"/>
      <c r="S22" s="71"/>
      <c r="T22" s="159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49"/>
    </row>
    <row r="23" spans="1:31" x14ac:dyDescent="0.25">
      <c r="A23" s="71"/>
      <c r="B23" s="167" t="s">
        <v>219</v>
      </c>
      <c r="C23" s="243" t="s">
        <v>19</v>
      </c>
      <c r="D23" s="246">
        <f t="shared" ref="D23:D33" si="3">SUM(F23:P23)</f>
        <v>30000</v>
      </c>
      <c r="E23" s="71"/>
      <c r="F23" s="143"/>
      <c r="G23" s="143">
        <v>30000</v>
      </c>
      <c r="H23" s="143"/>
      <c r="I23" s="143"/>
      <c r="J23" s="143"/>
      <c r="K23" s="143"/>
      <c r="L23" s="143"/>
      <c r="M23" s="143"/>
      <c r="N23" s="143"/>
      <c r="O23" s="143"/>
      <c r="P23" s="143"/>
      <c r="Q23" s="71"/>
      <c r="R23" s="149"/>
      <c r="S23" s="71"/>
      <c r="T23" s="15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9"/>
    </row>
    <row r="24" spans="1:31" x14ac:dyDescent="0.25">
      <c r="A24" s="71"/>
      <c r="B24" s="167" t="s">
        <v>220</v>
      </c>
      <c r="C24" s="243" t="s">
        <v>19</v>
      </c>
      <c r="D24" s="246">
        <f t="shared" si="3"/>
        <v>5000</v>
      </c>
      <c r="E24" s="71"/>
      <c r="F24" s="143"/>
      <c r="G24" s="143">
        <v>5000</v>
      </c>
      <c r="H24" s="143"/>
      <c r="I24" s="143"/>
      <c r="J24" s="143"/>
      <c r="K24" s="143"/>
      <c r="L24" s="143"/>
      <c r="M24" s="143"/>
      <c r="N24" s="143"/>
      <c r="O24" s="143"/>
      <c r="P24" s="143"/>
      <c r="Q24" s="71"/>
      <c r="R24" s="149"/>
      <c r="S24" s="71"/>
      <c r="T24" s="159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9"/>
    </row>
    <row r="25" spans="1:31" x14ac:dyDescent="0.25">
      <c r="A25" s="71"/>
      <c r="B25" s="167" t="s">
        <v>221</v>
      </c>
      <c r="C25" s="243" t="s">
        <v>19</v>
      </c>
      <c r="D25" s="246">
        <f t="shared" si="3"/>
        <v>0</v>
      </c>
      <c r="E25" s="71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71"/>
      <c r="R25" s="149"/>
      <c r="S25" s="71"/>
      <c r="T25" s="159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9"/>
    </row>
    <row r="26" spans="1:31" x14ac:dyDescent="0.25">
      <c r="A26" s="71"/>
      <c r="B26" s="167" t="s">
        <v>222</v>
      </c>
      <c r="C26" s="243" t="s">
        <v>19</v>
      </c>
      <c r="D26" s="246">
        <f t="shared" si="3"/>
        <v>0</v>
      </c>
      <c r="E26" s="71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71"/>
      <c r="R26" s="149"/>
      <c r="S26" s="71"/>
      <c r="T26" s="159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149"/>
    </row>
    <row r="27" spans="1:31" x14ac:dyDescent="0.25">
      <c r="A27" s="71"/>
      <c r="B27" s="167" t="s">
        <v>223</v>
      </c>
      <c r="C27" s="243" t="s">
        <v>19</v>
      </c>
      <c r="D27" s="246">
        <f t="shared" si="3"/>
        <v>0</v>
      </c>
      <c r="E27" s="71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71"/>
      <c r="R27" s="149"/>
      <c r="S27" s="71"/>
      <c r="T27" s="159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149"/>
    </row>
    <row r="28" spans="1:31" x14ac:dyDescent="0.25">
      <c r="A28" s="71"/>
      <c r="B28" s="167" t="s">
        <v>224</v>
      </c>
      <c r="C28" s="243" t="s">
        <v>19</v>
      </c>
      <c r="D28" s="246">
        <f t="shared" si="3"/>
        <v>0</v>
      </c>
      <c r="E28" s="71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71"/>
      <c r="R28" s="149"/>
      <c r="S28" s="71"/>
      <c r="T28" s="159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49"/>
    </row>
    <row r="29" spans="1:31" x14ac:dyDescent="0.25">
      <c r="A29" s="71"/>
      <c r="B29" s="167" t="s">
        <v>225</v>
      </c>
      <c r="C29" s="243" t="s">
        <v>19</v>
      </c>
      <c r="D29" s="246">
        <f t="shared" si="3"/>
        <v>0</v>
      </c>
      <c r="E29" s="71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71"/>
      <c r="R29" s="149"/>
      <c r="S29" s="71"/>
      <c r="T29" s="159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49"/>
    </row>
    <row r="30" spans="1:31" x14ac:dyDescent="0.25">
      <c r="A30" s="71"/>
      <c r="B30" s="167" t="s">
        <v>226</v>
      </c>
      <c r="C30" s="243" t="s">
        <v>19</v>
      </c>
      <c r="D30" s="246">
        <f t="shared" si="3"/>
        <v>0</v>
      </c>
      <c r="E30" s="71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71"/>
      <c r="R30" s="149"/>
      <c r="S30" s="71"/>
      <c r="T30" s="159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49"/>
    </row>
    <row r="31" spans="1:31" x14ac:dyDescent="0.25">
      <c r="A31" s="71"/>
      <c r="B31" s="167" t="s">
        <v>227</v>
      </c>
      <c r="C31" s="243" t="s">
        <v>19</v>
      </c>
      <c r="D31" s="246">
        <f t="shared" si="3"/>
        <v>0</v>
      </c>
      <c r="E31" s="71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71"/>
      <c r="R31" s="149"/>
      <c r="S31" s="71"/>
      <c r="T31" s="159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49"/>
    </row>
    <row r="32" spans="1:31" x14ac:dyDescent="0.25">
      <c r="A32" s="71"/>
      <c r="B32" s="167" t="s">
        <v>228</v>
      </c>
      <c r="C32" s="243" t="s">
        <v>19</v>
      </c>
      <c r="D32" s="246">
        <f t="shared" si="3"/>
        <v>0</v>
      </c>
      <c r="E32" s="71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71"/>
      <c r="R32" s="149"/>
      <c r="S32" s="71"/>
      <c r="T32" s="159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49"/>
    </row>
    <row r="33" spans="1:31" x14ac:dyDescent="0.25">
      <c r="A33" s="71"/>
      <c r="B33" s="167" t="s">
        <v>229</v>
      </c>
      <c r="C33" s="243" t="s">
        <v>19</v>
      </c>
      <c r="D33" s="246">
        <f t="shared" si="3"/>
        <v>0</v>
      </c>
      <c r="E33" s="71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71"/>
      <c r="R33" s="149"/>
      <c r="S33" s="71"/>
      <c r="T33" s="159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149"/>
    </row>
    <row r="34" spans="1:31" x14ac:dyDescent="0.25">
      <c r="A34" s="71"/>
      <c r="B34" s="167"/>
      <c r="C34" s="243"/>
      <c r="D34" s="246"/>
      <c r="E34" s="71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71"/>
      <c r="R34" s="149"/>
      <c r="S34" s="71"/>
      <c r="T34" s="159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49"/>
    </row>
    <row r="35" spans="1:31" ht="15.75" thickBot="1" x14ac:dyDescent="0.3">
      <c r="A35" s="132"/>
      <c r="B35" s="179"/>
      <c r="C35" s="192"/>
      <c r="D35" s="132"/>
      <c r="E35" s="71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71"/>
      <c r="R35" s="132"/>
      <c r="S35" s="71"/>
      <c r="T35" s="159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32"/>
    </row>
    <row r="36" spans="1:31" x14ac:dyDescent="0.25">
      <c r="A36" s="149"/>
      <c r="B36" s="178"/>
      <c r="C36" s="242"/>
      <c r="D36" s="149"/>
      <c r="E36" s="71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71"/>
      <c r="R36" s="149"/>
      <c r="S36" s="71"/>
      <c r="T36" s="159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9"/>
    </row>
    <row r="37" spans="1:31" s="13" customFormat="1" ht="15.75" x14ac:dyDescent="0.25">
      <c r="A37" s="836" t="s">
        <v>735</v>
      </c>
      <c r="B37" s="837"/>
      <c r="C37" s="837"/>
      <c r="D37" s="839"/>
      <c r="E37" s="123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3"/>
      <c r="R37" s="129"/>
      <c r="S37" s="123"/>
      <c r="T37" s="159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29"/>
    </row>
    <row r="38" spans="1:31" ht="15.75" x14ac:dyDescent="0.25">
      <c r="A38" s="149"/>
      <c r="B38" s="187" t="s">
        <v>732</v>
      </c>
      <c r="C38" s="242"/>
      <c r="D38" s="149"/>
      <c r="E38" s="71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71"/>
      <c r="R38" s="149"/>
      <c r="S38" s="71"/>
      <c r="T38" s="159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9"/>
    </row>
    <row r="39" spans="1:31" ht="29.25" x14ac:dyDescent="0.25">
      <c r="A39" s="237"/>
      <c r="B39" s="183" t="s">
        <v>457</v>
      </c>
      <c r="C39" s="191" t="s">
        <v>897</v>
      </c>
      <c r="D39" s="246">
        <f t="shared" ref="D39:D63" si="4">SUM(F39:P39)</f>
        <v>1260</v>
      </c>
      <c r="E39" s="71"/>
      <c r="F39" s="143">
        <v>100</v>
      </c>
      <c r="G39" s="143">
        <v>100</v>
      </c>
      <c r="H39" s="143">
        <v>100</v>
      </c>
      <c r="I39" s="143">
        <v>120</v>
      </c>
      <c r="J39" s="143">
        <v>120</v>
      </c>
      <c r="K39" s="143">
        <v>120</v>
      </c>
      <c r="L39" s="143">
        <v>120</v>
      </c>
      <c r="M39" s="143">
        <v>120</v>
      </c>
      <c r="N39" s="143">
        <v>120</v>
      </c>
      <c r="O39" s="143">
        <v>120</v>
      </c>
      <c r="P39" s="143">
        <v>120</v>
      </c>
      <c r="Q39" s="71"/>
      <c r="R39" s="149"/>
      <c r="S39" s="71"/>
      <c r="T39" s="159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49">
        <f>SUM(I39:P39)/8</f>
        <v>120</v>
      </c>
    </row>
    <row r="40" spans="1:31" x14ac:dyDescent="0.25">
      <c r="A40" s="149"/>
      <c r="B40" s="167" t="s">
        <v>886</v>
      </c>
      <c r="C40" s="191" t="s">
        <v>897</v>
      </c>
      <c r="D40" s="246">
        <f t="shared" si="4"/>
        <v>90</v>
      </c>
      <c r="E40" s="71"/>
      <c r="F40" s="143">
        <v>90</v>
      </c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71"/>
      <c r="R40" s="149"/>
      <c r="S40" s="71"/>
      <c r="T40" s="159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9"/>
    </row>
    <row r="41" spans="1:31" x14ac:dyDescent="0.25">
      <c r="A41" s="149"/>
      <c r="B41" s="167" t="s">
        <v>885</v>
      </c>
      <c r="C41" s="191" t="s">
        <v>897</v>
      </c>
      <c r="D41" s="246">
        <f t="shared" si="4"/>
        <v>-1170</v>
      </c>
      <c r="E41" s="71"/>
      <c r="F41" s="230">
        <f>F40-F39</f>
        <v>-10</v>
      </c>
      <c r="G41" s="230">
        <f t="shared" ref="G41:P41" si="5">G40-G39</f>
        <v>-100</v>
      </c>
      <c r="H41" s="230">
        <f t="shared" si="5"/>
        <v>-100</v>
      </c>
      <c r="I41" s="230">
        <f t="shared" si="5"/>
        <v>-120</v>
      </c>
      <c r="J41" s="230">
        <f t="shared" si="5"/>
        <v>-120</v>
      </c>
      <c r="K41" s="230">
        <f t="shared" si="5"/>
        <v>-120</v>
      </c>
      <c r="L41" s="230">
        <f t="shared" si="5"/>
        <v>-120</v>
      </c>
      <c r="M41" s="230">
        <f t="shared" si="5"/>
        <v>-120</v>
      </c>
      <c r="N41" s="230">
        <f t="shared" si="5"/>
        <v>-120</v>
      </c>
      <c r="O41" s="230">
        <f t="shared" si="5"/>
        <v>-120</v>
      </c>
      <c r="P41" s="230">
        <f t="shared" si="5"/>
        <v>-120</v>
      </c>
      <c r="Q41" s="71"/>
      <c r="R41" s="149"/>
      <c r="S41" s="71"/>
      <c r="T41" s="159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9"/>
    </row>
    <row r="42" spans="1:31" x14ac:dyDescent="0.25">
      <c r="A42" s="237"/>
      <c r="B42" s="183" t="s">
        <v>456</v>
      </c>
      <c r="C42" s="191" t="s">
        <v>895</v>
      </c>
      <c r="D42" s="246">
        <f t="shared" si="4"/>
        <v>0</v>
      </c>
      <c r="E42" s="71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71"/>
      <c r="R42" s="149"/>
      <c r="S42" s="71"/>
      <c r="T42" s="159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9"/>
    </row>
    <row r="43" spans="1:31" x14ac:dyDescent="0.25">
      <c r="A43" s="149"/>
      <c r="B43" s="167" t="s">
        <v>886</v>
      </c>
      <c r="C43" s="191" t="s">
        <v>895</v>
      </c>
      <c r="D43" s="246">
        <f t="shared" ref="D43:D44" si="6">SUM(F43:P43)</f>
        <v>0</v>
      </c>
      <c r="E43" s="71"/>
      <c r="F43" s="143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71"/>
      <c r="R43" s="149"/>
      <c r="S43" s="71"/>
      <c r="T43" s="159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9"/>
    </row>
    <row r="44" spans="1:31" x14ac:dyDescent="0.25">
      <c r="A44" s="149"/>
      <c r="B44" s="167" t="s">
        <v>885</v>
      </c>
      <c r="C44" s="191" t="s">
        <v>895</v>
      </c>
      <c r="D44" s="246">
        <f t="shared" si="6"/>
        <v>0</v>
      </c>
      <c r="E44" s="71"/>
      <c r="F44" s="230">
        <f>F43-F42</f>
        <v>0</v>
      </c>
      <c r="G44" s="230">
        <f t="shared" ref="G44" si="7">G43-G42</f>
        <v>0</v>
      </c>
      <c r="H44" s="230">
        <f t="shared" ref="H44" si="8">H43-H42</f>
        <v>0</v>
      </c>
      <c r="I44" s="230">
        <f t="shared" ref="I44" si="9">I43-I42</f>
        <v>0</v>
      </c>
      <c r="J44" s="230">
        <f t="shared" ref="J44" si="10">J43-J42</f>
        <v>0</v>
      </c>
      <c r="K44" s="230">
        <f t="shared" ref="K44" si="11">K43-K42</f>
        <v>0</v>
      </c>
      <c r="L44" s="230">
        <f t="shared" ref="L44" si="12">L43-L42</f>
        <v>0</v>
      </c>
      <c r="M44" s="230">
        <f t="shared" ref="M44" si="13">M43-M42</f>
        <v>0</v>
      </c>
      <c r="N44" s="230">
        <f t="shared" ref="N44" si="14">N43-N42</f>
        <v>0</v>
      </c>
      <c r="O44" s="230">
        <f t="shared" ref="O44" si="15">O43-O42</f>
        <v>0</v>
      </c>
      <c r="P44" s="230">
        <f t="shared" ref="P44" si="16">P43-P42</f>
        <v>0</v>
      </c>
      <c r="Q44" s="71"/>
      <c r="R44" s="149"/>
      <c r="S44" s="71"/>
      <c r="T44" s="159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9"/>
    </row>
    <row r="45" spans="1:31" x14ac:dyDescent="0.25">
      <c r="A45" s="237"/>
      <c r="B45" s="185" t="s">
        <v>468</v>
      </c>
      <c r="C45" s="191" t="s">
        <v>890</v>
      </c>
      <c r="D45" s="246">
        <f t="shared" si="4"/>
        <v>900</v>
      </c>
      <c r="E45" s="71"/>
      <c r="F45" s="143"/>
      <c r="G45" s="143"/>
      <c r="H45" s="143">
        <v>100</v>
      </c>
      <c r="I45" s="143">
        <v>100</v>
      </c>
      <c r="J45" s="143">
        <v>100</v>
      </c>
      <c r="K45" s="143">
        <v>100</v>
      </c>
      <c r="L45" s="143">
        <v>100</v>
      </c>
      <c r="M45" s="143">
        <v>100</v>
      </c>
      <c r="N45" s="143">
        <v>100</v>
      </c>
      <c r="O45" s="143">
        <v>100</v>
      </c>
      <c r="P45" s="143">
        <v>100</v>
      </c>
      <c r="Q45" s="71"/>
      <c r="R45" s="149"/>
      <c r="S45" s="71"/>
      <c r="T45" s="159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49">
        <f>SUM(I45:P45)/8</f>
        <v>100</v>
      </c>
    </row>
    <row r="46" spans="1:31" x14ac:dyDescent="0.25">
      <c r="A46" s="149"/>
      <c r="B46" s="167" t="s">
        <v>886</v>
      </c>
      <c r="C46" s="191" t="s">
        <v>890</v>
      </c>
      <c r="D46" s="246">
        <f t="shared" si="4"/>
        <v>0</v>
      </c>
      <c r="E46" s="71"/>
      <c r="F46" s="143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71"/>
      <c r="R46" s="149"/>
      <c r="S46" s="71"/>
      <c r="T46" s="159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49"/>
    </row>
    <row r="47" spans="1:31" x14ac:dyDescent="0.25">
      <c r="A47" s="149"/>
      <c r="B47" s="167" t="s">
        <v>885</v>
      </c>
      <c r="C47" s="191" t="s">
        <v>890</v>
      </c>
      <c r="D47" s="246">
        <f t="shared" si="4"/>
        <v>-900</v>
      </c>
      <c r="E47" s="71"/>
      <c r="F47" s="230">
        <f>F46-F45</f>
        <v>0</v>
      </c>
      <c r="G47" s="230">
        <f t="shared" ref="G47" si="17">G46-G45</f>
        <v>0</v>
      </c>
      <c r="H47" s="230">
        <f t="shared" ref="H47" si="18">H46-H45</f>
        <v>-100</v>
      </c>
      <c r="I47" s="230">
        <f t="shared" ref="I47" si="19">I46-I45</f>
        <v>-100</v>
      </c>
      <c r="J47" s="230">
        <f t="shared" ref="J47" si="20">J46-J45</f>
        <v>-100</v>
      </c>
      <c r="K47" s="230">
        <f t="shared" ref="K47" si="21">K46-K45</f>
        <v>-100</v>
      </c>
      <c r="L47" s="230">
        <f t="shared" ref="L47" si="22">L46-L45</f>
        <v>-100</v>
      </c>
      <c r="M47" s="230">
        <f t="shared" ref="M47" si="23">M46-M45</f>
        <v>-100</v>
      </c>
      <c r="N47" s="230">
        <f t="shared" ref="N47" si="24">N46-N45</f>
        <v>-100</v>
      </c>
      <c r="O47" s="230">
        <f t="shared" ref="O47" si="25">O46-O45</f>
        <v>-100</v>
      </c>
      <c r="P47" s="230">
        <f t="shared" ref="P47" si="26">P46-P45</f>
        <v>-100</v>
      </c>
      <c r="Q47" s="71"/>
      <c r="R47" s="149"/>
      <c r="S47" s="71"/>
      <c r="T47" s="159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49"/>
    </row>
    <row r="48" spans="1:31" x14ac:dyDescent="0.25">
      <c r="A48" s="237"/>
      <c r="B48" s="185" t="s">
        <v>467</v>
      </c>
      <c r="C48" s="191" t="s">
        <v>890</v>
      </c>
      <c r="D48" s="246">
        <f t="shared" si="4"/>
        <v>550</v>
      </c>
      <c r="E48" s="71"/>
      <c r="F48" s="143">
        <v>50</v>
      </c>
      <c r="G48" s="143">
        <v>50</v>
      </c>
      <c r="H48" s="143">
        <v>50</v>
      </c>
      <c r="I48" s="143">
        <v>50</v>
      </c>
      <c r="J48" s="143">
        <v>50</v>
      </c>
      <c r="K48" s="143">
        <v>50</v>
      </c>
      <c r="L48" s="143">
        <v>50</v>
      </c>
      <c r="M48" s="143">
        <v>50</v>
      </c>
      <c r="N48" s="143">
        <v>50</v>
      </c>
      <c r="O48" s="143">
        <v>50</v>
      </c>
      <c r="P48" s="143">
        <v>50</v>
      </c>
      <c r="Q48" s="71"/>
      <c r="R48" s="149"/>
      <c r="S48" s="71"/>
      <c r="T48" s="159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49"/>
    </row>
    <row r="49" spans="1:31" x14ac:dyDescent="0.25">
      <c r="A49" s="149"/>
      <c r="B49" s="167" t="s">
        <v>886</v>
      </c>
      <c r="C49" s="191" t="s">
        <v>890</v>
      </c>
      <c r="D49" s="246">
        <f t="shared" ref="D49:D50" si="27">SUM(F49:P49)</f>
        <v>0</v>
      </c>
      <c r="E49" s="71"/>
      <c r="F49" s="143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71"/>
      <c r="R49" s="149"/>
      <c r="S49" s="71"/>
      <c r="T49" s="159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49"/>
    </row>
    <row r="50" spans="1:31" x14ac:dyDescent="0.25">
      <c r="A50" s="149"/>
      <c r="B50" s="167" t="s">
        <v>885</v>
      </c>
      <c r="C50" s="191" t="s">
        <v>890</v>
      </c>
      <c r="D50" s="246">
        <f t="shared" si="27"/>
        <v>-550</v>
      </c>
      <c r="E50" s="71"/>
      <c r="F50" s="230">
        <f>F49-F48</f>
        <v>-50</v>
      </c>
      <c r="G50" s="230">
        <f t="shared" ref="G50" si="28">G49-G48</f>
        <v>-50</v>
      </c>
      <c r="H50" s="230">
        <f t="shared" ref="H50" si="29">H49-H48</f>
        <v>-50</v>
      </c>
      <c r="I50" s="230">
        <f t="shared" ref="I50" si="30">I49-I48</f>
        <v>-50</v>
      </c>
      <c r="J50" s="230">
        <f t="shared" ref="J50" si="31">J49-J48</f>
        <v>-50</v>
      </c>
      <c r="K50" s="230">
        <f t="shared" ref="K50" si="32">K49-K48</f>
        <v>-50</v>
      </c>
      <c r="L50" s="230">
        <f t="shared" ref="L50" si="33">L49-L48</f>
        <v>-50</v>
      </c>
      <c r="M50" s="230">
        <f t="shared" ref="M50" si="34">M49-M48</f>
        <v>-50</v>
      </c>
      <c r="N50" s="230">
        <f t="shared" ref="N50" si="35">N49-N48</f>
        <v>-50</v>
      </c>
      <c r="O50" s="230">
        <f t="shared" ref="O50" si="36">O49-O48</f>
        <v>-50</v>
      </c>
      <c r="P50" s="230">
        <f t="shared" ref="P50" si="37">P49-P48</f>
        <v>-50</v>
      </c>
      <c r="Q50" s="71"/>
      <c r="R50" s="149"/>
      <c r="S50" s="71"/>
      <c r="T50" s="159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49"/>
    </row>
    <row r="51" spans="1:31" ht="29.25" x14ac:dyDescent="0.25">
      <c r="A51" s="237"/>
      <c r="B51" s="185" t="s">
        <v>471</v>
      </c>
      <c r="C51" s="191" t="s">
        <v>890</v>
      </c>
      <c r="D51" s="246">
        <f t="shared" si="4"/>
        <v>1450</v>
      </c>
      <c r="E51" s="71"/>
      <c r="F51" s="143">
        <f t="shared" ref="F51:P51" si="38">F45+F48</f>
        <v>50</v>
      </c>
      <c r="G51" s="143">
        <f t="shared" si="38"/>
        <v>50</v>
      </c>
      <c r="H51" s="143">
        <f t="shared" si="38"/>
        <v>150</v>
      </c>
      <c r="I51" s="143">
        <f t="shared" si="38"/>
        <v>150</v>
      </c>
      <c r="J51" s="143">
        <f t="shared" si="38"/>
        <v>150</v>
      </c>
      <c r="K51" s="143">
        <f t="shared" si="38"/>
        <v>150</v>
      </c>
      <c r="L51" s="143">
        <f t="shared" si="38"/>
        <v>150</v>
      </c>
      <c r="M51" s="143">
        <f t="shared" si="38"/>
        <v>150</v>
      </c>
      <c r="N51" s="143">
        <f t="shared" si="38"/>
        <v>150</v>
      </c>
      <c r="O51" s="143">
        <f t="shared" si="38"/>
        <v>150</v>
      </c>
      <c r="P51" s="143">
        <f t="shared" si="38"/>
        <v>150</v>
      </c>
      <c r="Q51" s="71"/>
      <c r="R51" s="149"/>
      <c r="S51" s="71"/>
      <c r="T51" s="159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49"/>
    </row>
    <row r="52" spans="1:31" x14ac:dyDescent="0.25">
      <c r="A52" s="149"/>
      <c r="B52" s="167" t="s">
        <v>886</v>
      </c>
      <c r="C52" s="191" t="s">
        <v>890</v>
      </c>
      <c r="D52" s="246">
        <f t="shared" si="4"/>
        <v>0</v>
      </c>
      <c r="E52" s="71"/>
      <c r="F52" s="143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71"/>
      <c r="R52" s="149"/>
      <c r="S52" s="71"/>
      <c r="T52" s="159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49"/>
    </row>
    <row r="53" spans="1:31" x14ac:dyDescent="0.25">
      <c r="A53" s="149"/>
      <c r="B53" s="167" t="s">
        <v>885</v>
      </c>
      <c r="C53" s="191" t="s">
        <v>890</v>
      </c>
      <c r="D53" s="246">
        <f t="shared" si="4"/>
        <v>-1450</v>
      </c>
      <c r="E53" s="71"/>
      <c r="F53" s="230">
        <f>F52-F51</f>
        <v>-50</v>
      </c>
      <c r="G53" s="230">
        <f t="shared" ref="G53" si="39">G52-G51</f>
        <v>-50</v>
      </c>
      <c r="H53" s="230">
        <f t="shared" ref="H53" si="40">H52-H51</f>
        <v>-150</v>
      </c>
      <c r="I53" s="230">
        <f t="shared" ref="I53" si="41">I52-I51</f>
        <v>-150</v>
      </c>
      <c r="J53" s="230">
        <f t="shared" ref="J53" si="42">J52-J51</f>
        <v>-150</v>
      </c>
      <c r="K53" s="230">
        <f t="shared" ref="K53" si="43">K52-K51</f>
        <v>-150</v>
      </c>
      <c r="L53" s="230">
        <f t="shared" ref="L53" si="44">L52-L51</f>
        <v>-150</v>
      </c>
      <c r="M53" s="230">
        <f t="shared" ref="M53" si="45">M52-M51</f>
        <v>-150</v>
      </c>
      <c r="N53" s="230">
        <f t="shared" ref="N53" si="46">N52-N51</f>
        <v>-150</v>
      </c>
      <c r="O53" s="230">
        <f t="shared" ref="O53" si="47">O52-O51</f>
        <v>-150</v>
      </c>
      <c r="P53" s="230">
        <f t="shared" ref="P53" si="48">P52-P51</f>
        <v>-150</v>
      </c>
      <c r="Q53" s="71"/>
      <c r="R53" s="149"/>
      <c r="S53" s="71"/>
      <c r="T53" s="159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49"/>
    </row>
    <row r="54" spans="1:31" ht="29.25" x14ac:dyDescent="0.25">
      <c r="A54" s="237"/>
      <c r="B54" s="185" t="s">
        <v>476</v>
      </c>
      <c r="C54" s="191"/>
      <c r="D54" s="246"/>
      <c r="E54" s="71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71"/>
      <c r="R54" s="149"/>
      <c r="S54" s="71"/>
      <c r="T54" s="159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49"/>
    </row>
    <row r="55" spans="1:31" x14ac:dyDescent="0.25">
      <c r="A55" s="149"/>
      <c r="B55" s="167" t="s">
        <v>886</v>
      </c>
      <c r="C55" s="191" t="s">
        <v>890</v>
      </c>
      <c r="D55" s="246">
        <f t="shared" ref="D55:D56" si="49">SUM(F55:P55)</f>
        <v>0</v>
      </c>
      <c r="E55" s="71"/>
      <c r="F55" s="143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71"/>
      <c r="R55" s="149"/>
      <c r="S55" s="71"/>
      <c r="T55" s="159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49"/>
    </row>
    <row r="56" spans="1:31" x14ac:dyDescent="0.25">
      <c r="A56" s="149"/>
      <c r="B56" s="167" t="s">
        <v>885</v>
      </c>
      <c r="C56" s="191" t="s">
        <v>890</v>
      </c>
      <c r="D56" s="246">
        <f t="shared" si="49"/>
        <v>0</v>
      </c>
      <c r="E56" s="71"/>
      <c r="F56" s="230">
        <f>F55-F54</f>
        <v>0</v>
      </c>
      <c r="G56" s="230">
        <f t="shared" ref="G56" si="50">G55-G54</f>
        <v>0</v>
      </c>
      <c r="H56" s="230">
        <f t="shared" ref="H56" si="51">H55-H54</f>
        <v>0</v>
      </c>
      <c r="I56" s="230">
        <f t="shared" ref="I56" si="52">I55-I54</f>
        <v>0</v>
      </c>
      <c r="J56" s="230">
        <f t="shared" ref="J56" si="53">J55-J54</f>
        <v>0</v>
      </c>
      <c r="K56" s="230">
        <f t="shared" ref="K56" si="54">K55-K54</f>
        <v>0</v>
      </c>
      <c r="L56" s="230">
        <f t="shared" ref="L56" si="55">L55-L54</f>
        <v>0</v>
      </c>
      <c r="M56" s="230">
        <f t="shared" ref="M56" si="56">M55-M54</f>
        <v>0</v>
      </c>
      <c r="N56" s="230">
        <f t="shared" ref="N56" si="57">N55-N54</f>
        <v>0</v>
      </c>
      <c r="O56" s="230">
        <f t="shared" ref="O56" si="58">O55-O54</f>
        <v>0</v>
      </c>
      <c r="P56" s="230">
        <f t="shared" ref="P56" si="59">P55-P54</f>
        <v>0</v>
      </c>
      <c r="Q56" s="71"/>
      <c r="R56" s="149"/>
      <c r="S56" s="71"/>
      <c r="T56" s="159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49"/>
    </row>
    <row r="57" spans="1:31" x14ac:dyDescent="0.25">
      <c r="A57" s="237"/>
      <c r="B57" s="185" t="s">
        <v>264</v>
      </c>
      <c r="C57" s="191" t="s">
        <v>890</v>
      </c>
      <c r="D57" s="246">
        <f>SUM(F57:P57)</f>
        <v>1100</v>
      </c>
      <c r="E57" s="71"/>
      <c r="F57" s="143">
        <v>100</v>
      </c>
      <c r="G57" s="143">
        <v>100</v>
      </c>
      <c r="H57" s="143">
        <v>100</v>
      </c>
      <c r="I57" s="143">
        <v>100</v>
      </c>
      <c r="J57" s="143">
        <v>100</v>
      </c>
      <c r="K57" s="143">
        <v>100</v>
      </c>
      <c r="L57" s="143">
        <v>100</v>
      </c>
      <c r="M57" s="143">
        <v>100</v>
      </c>
      <c r="N57" s="143">
        <v>100</v>
      </c>
      <c r="O57" s="143">
        <v>100</v>
      </c>
      <c r="P57" s="143">
        <v>100</v>
      </c>
      <c r="Q57" s="71"/>
      <c r="R57" s="149"/>
      <c r="S57" s="71"/>
      <c r="T57" s="159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49"/>
    </row>
    <row r="58" spans="1:31" x14ac:dyDescent="0.25">
      <c r="A58" s="149"/>
      <c r="B58" s="167" t="s">
        <v>886</v>
      </c>
      <c r="C58" s="191" t="s">
        <v>890</v>
      </c>
      <c r="D58" s="246">
        <f t="shared" ref="D58:D59" si="60">SUM(F58:P58)</f>
        <v>0</v>
      </c>
      <c r="E58" s="71"/>
      <c r="F58" s="143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71"/>
      <c r="R58" s="149"/>
      <c r="S58" s="71"/>
      <c r="T58" s="159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49"/>
    </row>
    <row r="59" spans="1:31" x14ac:dyDescent="0.25">
      <c r="A59" s="149"/>
      <c r="B59" s="167" t="s">
        <v>885</v>
      </c>
      <c r="C59" s="191" t="s">
        <v>890</v>
      </c>
      <c r="D59" s="246">
        <f t="shared" si="60"/>
        <v>-1100</v>
      </c>
      <c r="E59" s="71"/>
      <c r="F59" s="230">
        <f>F58-F57</f>
        <v>-100</v>
      </c>
      <c r="G59" s="230">
        <f t="shared" ref="G59" si="61">G58-G57</f>
        <v>-100</v>
      </c>
      <c r="H59" s="230">
        <f t="shared" ref="H59" si="62">H58-H57</f>
        <v>-100</v>
      </c>
      <c r="I59" s="230">
        <f t="shared" ref="I59" si="63">I58-I57</f>
        <v>-100</v>
      </c>
      <c r="J59" s="230">
        <f t="shared" ref="J59" si="64">J58-J57</f>
        <v>-100</v>
      </c>
      <c r="K59" s="230">
        <f t="shared" ref="K59" si="65">K58-K57</f>
        <v>-100</v>
      </c>
      <c r="L59" s="230">
        <f t="shared" ref="L59" si="66">L58-L57</f>
        <v>-100</v>
      </c>
      <c r="M59" s="230">
        <f t="shared" ref="M59" si="67">M58-M57</f>
        <v>-100</v>
      </c>
      <c r="N59" s="230">
        <f t="shared" ref="N59" si="68">N58-N57</f>
        <v>-100</v>
      </c>
      <c r="O59" s="230">
        <f t="shared" ref="O59" si="69">O58-O57</f>
        <v>-100</v>
      </c>
      <c r="P59" s="230">
        <f t="shared" ref="P59" si="70">P58-P57</f>
        <v>-100</v>
      </c>
      <c r="Q59" s="71"/>
      <c r="R59" s="149"/>
      <c r="S59" s="71"/>
      <c r="T59" s="159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49"/>
    </row>
    <row r="60" spans="1:31" x14ac:dyDescent="0.25">
      <c r="A60" s="237"/>
      <c r="B60" s="185" t="s">
        <v>187</v>
      </c>
      <c r="C60" s="193" t="s">
        <v>894</v>
      </c>
      <c r="D60" s="246">
        <f t="shared" si="4"/>
        <v>0</v>
      </c>
      <c r="E60" s="71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71"/>
      <c r="R60" s="149"/>
      <c r="S60" s="71"/>
      <c r="T60" s="159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49"/>
    </row>
    <row r="61" spans="1:31" x14ac:dyDescent="0.25">
      <c r="A61" s="149"/>
      <c r="B61" s="167" t="s">
        <v>886</v>
      </c>
      <c r="C61" s="193" t="s">
        <v>894</v>
      </c>
      <c r="D61" s="246">
        <f t="shared" si="4"/>
        <v>0</v>
      </c>
      <c r="E61" s="71"/>
      <c r="F61" s="143"/>
      <c r="G61" s="234"/>
      <c r="H61" s="234"/>
      <c r="I61" s="234"/>
      <c r="J61" s="234"/>
      <c r="K61" s="234"/>
      <c r="L61" s="234"/>
      <c r="M61" s="234"/>
      <c r="N61" s="234"/>
      <c r="O61" s="234"/>
      <c r="P61" s="234"/>
      <c r="Q61" s="71"/>
      <c r="R61" s="149"/>
      <c r="S61" s="71"/>
      <c r="T61" s="159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49"/>
    </row>
    <row r="62" spans="1:31" x14ac:dyDescent="0.25">
      <c r="A62" s="149"/>
      <c r="B62" s="167" t="s">
        <v>885</v>
      </c>
      <c r="C62" s="193" t="s">
        <v>894</v>
      </c>
      <c r="D62" s="246">
        <f t="shared" si="4"/>
        <v>0</v>
      </c>
      <c r="E62" s="71"/>
      <c r="F62" s="230">
        <f>F61-F60</f>
        <v>0</v>
      </c>
      <c r="G62" s="230">
        <f t="shared" ref="G62" si="71">G61-G60</f>
        <v>0</v>
      </c>
      <c r="H62" s="230">
        <f t="shared" ref="H62" si="72">H61-H60</f>
        <v>0</v>
      </c>
      <c r="I62" s="230">
        <f t="shared" ref="I62" si="73">I61-I60</f>
        <v>0</v>
      </c>
      <c r="J62" s="230">
        <f t="shared" ref="J62" si="74">J61-J60</f>
        <v>0</v>
      </c>
      <c r="K62" s="230">
        <f t="shared" ref="K62" si="75">K61-K60</f>
        <v>0</v>
      </c>
      <c r="L62" s="230">
        <f t="shared" ref="L62" si="76">L61-L60</f>
        <v>0</v>
      </c>
      <c r="M62" s="230">
        <f t="shared" ref="M62" si="77">M61-M60</f>
        <v>0</v>
      </c>
      <c r="N62" s="230">
        <f t="shared" ref="N62" si="78">N61-N60</f>
        <v>0</v>
      </c>
      <c r="O62" s="230">
        <f t="shared" ref="O62" si="79">O61-O60</f>
        <v>0</v>
      </c>
      <c r="P62" s="230">
        <f t="shared" ref="P62" si="80">P61-P60</f>
        <v>0</v>
      </c>
      <c r="Q62" s="71"/>
      <c r="R62" s="149"/>
      <c r="S62" s="71"/>
      <c r="T62" s="159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149"/>
    </row>
    <row r="63" spans="1:31" x14ac:dyDescent="0.25">
      <c r="A63" s="237"/>
      <c r="B63" s="185" t="s">
        <v>188</v>
      </c>
      <c r="C63" s="191" t="s">
        <v>890</v>
      </c>
      <c r="D63" s="246">
        <f t="shared" si="4"/>
        <v>6600</v>
      </c>
      <c r="E63" s="71"/>
      <c r="F63" s="143"/>
      <c r="G63" s="143"/>
      <c r="H63" s="143">
        <v>200</v>
      </c>
      <c r="I63" s="143">
        <v>800</v>
      </c>
      <c r="J63" s="143">
        <v>800</v>
      </c>
      <c r="K63" s="143">
        <v>800</v>
      </c>
      <c r="L63" s="143">
        <v>800</v>
      </c>
      <c r="M63" s="143">
        <v>800</v>
      </c>
      <c r="N63" s="143">
        <v>800</v>
      </c>
      <c r="O63" s="143">
        <v>800</v>
      </c>
      <c r="P63" s="143">
        <v>800</v>
      </c>
      <c r="Q63" s="71"/>
      <c r="R63" s="149"/>
      <c r="S63" s="71"/>
      <c r="T63" s="159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149">
        <f>SUM(I63:P63)/8</f>
        <v>800</v>
      </c>
    </row>
    <row r="64" spans="1:31" x14ac:dyDescent="0.25">
      <c r="A64" s="71"/>
      <c r="B64" s="167" t="s">
        <v>886</v>
      </c>
      <c r="C64" s="191" t="s">
        <v>890</v>
      </c>
      <c r="D64" s="246">
        <f t="shared" ref="D64:D65" si="81">SUM(F64:P64)</f>
        <v>0</v>
      </c>
      <c r="E64" s="71"/>
      <c r="F64" s="143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71"/>
      <c r="R64" s="149"/>
      <c r="S64" s="71"/>
      <c r="T64" s="159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1:31" x14ac:dyDescent="0.25">
      <c r="A65" s="71"/>
      <c r="B65" s="167" t="s">
        <v>885</v>
      </c>
      <c r="C65" s="191" t="s">
        <v>890</v>
      </c>
      <c r="D65" s="246">
        <f t="shared" si="81"/>
        <v>-6600</v>
      </c>
      <c r="E65" s="71"/>
      <c r="F65" s="230">
        <f>F64-F63</f>
        <v>0</v>
      </c>
      <c r="G65" s="230">
        <f t="shared" ref="G65" si="82">G64-G63</f>
        <v>0</v>
      </c>
      <c r="H65" s="230">
        <f t="shared" ref="H65" si="83">H64-H63</f>
        <v>-200</v>
      </c>
      <c r="I65" s="230">
        <f t="shared" ref="I65" si="84">I64-I63</f>
        <v>-800</v>
      </c>
      <c r="J65" s="230">
        <f t="shared" ref="J65" si="85">J64-J63</f>
        <v>-800</v>
      </c>
      <c r="K65" s="230">
        <f t="shared" ref="K65" si="86">K64-K63</f>
        <v>-800</v>
      </c>
      <c r="L65" s="230">
        <f t="shared" ref="L65" si="87">L64-L63</f>
        <v>-800</v>
      </c>
      <c r="M65" s="230">
        <f t="shared" ref="M65" si="88">M64-M63</f>
        <v>-800</v>
      </c>
      <c r="N65" s="230">
        <f t="shared" ref="N65" si="89">N64-N63</f>
        <v>-800</v>
      </c>
      <c r="O65" s="230">
        <f t="shared" ref="O65" si="90">O64-O63</f>
        <v>-800</v>
      </c>
      <c r="P65" s="230">
        <f t="shared" ref="P65" si="91">P64-P63</f>
        <v>-800</v>
      </c>
      <c r="Q65" s="71"/>
      <c r="R65" s="149"/>
      <c r="S65" s="71"/>
      <c r="T65" s="159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</row>
    <row r="66" spans="1:31" x14ac:dyDescent="0.25">
      <c r="A66" s="71"/>
      <c r="B66" s="167"/>
      <c r="C66" s="112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159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</row>
    <row r="67" spans="1:31" x14ac:dyDescent="0.25">
      <c r="A67" s="149"/>
      <c r="B67" s="178"/>
      <c r="C67" s="242"/>
      <c r="D67" s="149"/>
      <c r="E67" s="71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71"/>
      <c r="R67" s="149"/>
      <c r="S67" s="71"/>
      <c r="T67" s="159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149"/>
    </row>
    <row r="68" spans="1:31" s="13" customFormat="1" ht="15.75" x14ac:dyDescent="0.25">
      <c r="A68" s="836" t="s">
        <v>736</v>
      </c>
      <c r="B68" s="837"/>
      <c r="C68" s="837"/>
      <c r="D68" s="840"/>
      <c r="E68" s="123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3"/>
      <c r="R68" s="129"/>
      <c r="S68" s="123"/>
      <c r="T68" s="159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129"/>
    </row>
    <row r="69" spans="1:31" x14ac:dyDescent="0.25">
      <c r="A69" s="149"/>
      <c r="B69" s="178"/>
      <c r="C69" s="242"/>
      <c r="D69" s="149"/>
      <c r="E69" s="71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71"/>
      <c r="R69" s="149"/>
      <c r="S69" s="71"/>
      <c r="T69" s="159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149"/>
    </row>
    <row r="70" spans="1:31" x14ac:dyDescent="0.25">
      <c r="A70" s="149"/>
      <c r="B70" s="183" t="s">
        <v>140</v>
      </c>
      <c r="C70" s="244" t="s">
        <v>138</v>
      </c>
      <c r="D70" s="247" t="s">
        <v>134</v>
      </c>
      <c r="E70" s="71"/>
      <c r="F70" s="228">
        <f>SUM(F71:F72)</f>
        <v>2</v>
      </c>
      <c r="G70" s="228">
        <f t="shared" ref="G70:P70" si="92">SUM(G71:G72)</f>
        <v>2</v>
      </c>
      <c r="H70" s="228">
        <f t="shared" si="92"/>
        <v>26</v>
      </c>
      <c r="I70" s="228">
        <f t="shared" si="92"/>
        <v>26</v>
      </c>
      <c r="J70" s="228">
        <f t="shared" si="92"/>
        <v>26</v>
      </c>
      <c r="K70" s="228">
        <f t="shared" si="92"/>
        <v>26</v>
      </c>
      <c r="L70" s="228">
        <f t="shared" si="92"/>
        <v>26</v>
      </c>
      <c r="M70" s="228">
        <f t="shared" si="92"/>
        <v>26</v>
      </c>
      <c r="N70" s="228">
        <f t="shared" si="92"/>
        <v>26</v>
      </c>
      <c r="O70" s="228">
        <f t="shared" si="92"/>
        <v>26</v>
      </c>
      <c r="P70" s="228">
        <f t="shared" si="92"/>
        <v>26</v>
      </c>
      <c r="Q70" s="71"/>
      <c r="R70" s="149"/>
      <c r="S70" s="71"/>
      <c r="T70" s="159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149"/>
    </row>
    <row r="71" spans="1:31" ht="30" x14ac:dyDescent="0.25">
      <c r="A71" s="149"/>
      <c r="B71" s="178" t="s">
        <v>139</v>
      </c>
      <c r="C71" s="244" t="s">
        <v>138</v>
      </c>
      <c r="D71" s="247" t="s">
        <v>134</v>
      </c>
      <c r="E71" s="71"/>
      <c r="F71" s="231"/>
      <c r="G71" s="231"/>
      <c r="H71" s="232">
        <v>20</v>
      </c>
      <c r="I71" s="152">
        <f>H71</f>
        <v>20</v>
      </c>
      <c r="J71" s="152">
        <f t="shared" ref="J71:P71" si="93">I71</f>
        <v>20</v>
      </c>
      <c r="K71" s="152">
        <f t="shared" si="93"/>
        <v>20</v>
      </c>
      <c r="L71" s="152">
        <f t="shared" si="93"/>
        <v>20</v>
      </c>
      <c r="M71" s="152">
        <f t="shared" si="93"/>
        <v>20</v>
      </c>
      <c r="N71" s="152">
        <f t="shared" si="93"/>
        <v>20</v>
      </c>
      <c r="O71" s="152">
        <f t="shared" si="93"/>
        <v>20</v>
      </c>
      <c r="P71" s="152">
        <f t="shared" si="93"/>
        <v>20</v>
      </c>
      <c r="Q71" s="71"/>
      <c r="R71" s="149"/>
      <c r="S71" s="71"/>
      <c r="T71" s="159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149"/>
    </row>
    <row r="72" spans="1:31" ht="30" x14ac:dyDescent="0.25">
      <c r="A72" s="149"/>
      <c r="B72" s="178" t="s">
        <v>149</v>
      </c>
      <c r="C72" s="244" t="s">
        <v>138</v>
      </c>
      <c r="D72" s="247" t="s">
        <v>134</v>
      </c>
      <c r="E72" s="71"/>
      <c r="F72" s="232">
        <v>2</v>
      </c>
      <c r="G72" s="152">
        <f>F72</f>
        <v>2</v>
      </c>
      <c r="H72" s="152">
        <f>G72+4</f>
        <v>6</v>
      </c>
      <c r="I72" s="152">
        <f t="shared" ref="I72:P72" si="94">H72</f>
        <v>6</v>
      </c>
      <c r="J72" s="152">
        <f t="shared" si="94"/>
        <v>6</v>
      </c>
      <c r="K72" s="152">
        <f t="shared" si="94"/>
        <v>6</v>
      </c>
      <c r="L72" s="152">
        <f t="shared" si="94"/>
        <v>6</v>
      </c>
      <c r="M72" s="152">
        <f t="shared" si="94"/>
        <v>6</v>
      </c>
      <c r="N72" s="152">
        <f t="shared" si="94"/>
        <v>6</v>
      </c>
      <c r="O72" s="152">
        <f t="shared" si="94"/>
        <v>6</v>
      </c>
      <c r="P72" s="152">
        <f t="shared" si="94"/>
        <v>6</v>
      </c>
      <c r="Q72" s="71"/>
      <c r="R72" s="149"/>
      <c r="S72" s="71"/>
      <c r="T72" s="159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149"/>
    </row>
    <row r="73" spans="1:31" ht="45" x14ac:dyDescent="0.25">
      <c r="A73" s="149"/>
      <c r="B73" s="240" t="s">
        <v>551</v>
      </c>
      <c r="C73" s="244" t="s">
        <v>138</v>
      </c>
      <c r="D73" s="247"/>
      <c r="E73" s="71"/>
      <c r="F73" s="233">
        <f>F74</f>
        <v>2</v>
      </c>
      <c r="G73" s="233">
        <f>F73+G74</f>
        <v>2</v>
      </c>
      <c r="H73" s="233">
        <f t="shared" ref="H73:P73" si="95">G73+H74</f>
        <v>26</v>
      </c>
      <c r="I73" s="233">
        <f t="shared" si="95"/>
        <v>26</v>
      </c>
      <c r="J73" s="233">
        <f t="shared" si="95"/>
        <v>26</v>
      </c>
      <c r="K73" s="233">
        <f t="shared" si="95"/>
        <v>26</v>
      </c>
      <c r="L73" s="233">
        <f t="shared" si="95"/>
        <v>26</v>
      </c>
      <c r="M73" s="233">
        <f t="shared" si="95"/>
        <v>26</v>
      </c>
      <c r="N73" s="233">
        <f t="shared" si="95"/>
        <v>26</v>
      </c>
      <c r="O73" s="233">
        <f t="shared" si="95"/>
        <v>26</v>
      </c>
      <c r="P73" s="233">
        <f t="shared" si="95"/>
        <v>26</v>
      </c>
      <c r="Q73" s="71"/>
      <c r="R73" s="149"/>
      <c r="S73" s="71"/>
      <c r="T73" s="159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149"/>
    </row>
    <row r="74" spans="1:31" ht="45" x14ac:dyDescent="0.25">
      <c r="A74" s="149"/>
      <c r="B74" s="240" t="s">
        <v>552</v>
      </c>
      <c r="C74" s="244" t="s">
        <v>138</v>
      </c>
      <c r="D74" s="247"/>
      <c r="E74" s="71"/>
      <c r="F74" s="233">
        <f>F72</f>
        <v>2</v>
      </c>
      <c r="G74" s="233"/>
      <c r="H74" s="233">
        <v>24</v>
      </c>
      <c r="I74" s="233"/>
      <c r="J74" s="233"/>
      <c r="K74" s="233"/>
      <c r="L74" s="233"/>
      <c r="M74" s="233"/>
      <c r="N74" s="233"/>
      <c r="O74" s="233"/>
      <c r="P74" s="235"/>
      <c r="Q74" s="71"/>
      <c r="R74" s="149"/>
      <c r="S74" s="71"/>
      <c r="T74" s="159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149"/>
    </row>
    <row r="75" spans="1:31" x14ac:dyDescent="0.25">
      <c r="A75" s="149"/>
      <c r="B75" s="178"/>
      <c r="C75" s="244"/>
      <c r="D75" s="248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149"/>
      <c r="S75" s="71"/>
      <c r="T75" s="159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149"/>
    </row>
    <row r="76" spans="1:31" ht="15.75" thickBot="1" x14ac:dyDescent="0.3">
      <c r="A76" s="132"/>
      <c r="B76" s="179"/>
      <c r="C76" s="192"/>
      <c r="D76" s="132"/>
      <c r="E76" s="71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71"/>
      <c r="R76" s="132"/>
      <c r="S76" s="71"/>
      <c r="T76" s="159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132"/>
    </row>
    <row r="77" spans="1:31" x14ac:dyDescent="0.25">
      <c r="A77" s="238"/>
      <c r="B77" s="241"/>
      <c r="C77" s="245"/>
      <c r="D77" s="149"/>
      <c r="E77" s="71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71"/>
      <c r="R77" s="149"/>
      <c r="S77" s="71"/>
      <c r="T77" s="159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149"/>
    </row>
  </sheetData>
  <mergeCells count="4">
    <mergeCell ref="A37:D37"/>
    <mergeCell ref="A19:D19"/>
    <mergeCell ref="A5:D5"/>
    <mergeCell ref="A68:D68"/>
  </mergeCells>
  <hyperlinks>
    <hyperlink ref="A71" location="'Исходные данные'!A10" display="источник" xr:uid="{45526D2E-6278-4ABD-8252-A580FFA14310}"/>
    <hyperlink ref="A72" location="'Исходные данные'!A10" display="источник" xr:uid="{1AE8EC34-FB79-4977-BE42-C6C783A2E4B5}"/>
    <hyperlink ref="I1" location="Контроль!A1" display="Контроль!A1" xr:uid="{1D451031-4775-4683-9103-BEB7CA167241}"/>
  </hyperlinks>
  <pageMargins left="0.70866141732283472" right="0.70866141732283472" top="0.74803149606299213" bottom="0.74803149606299213" header="0.31496062992125984" footer="0.31496062992125984"/>
  <pageSetup paperSize="9" scale="61" fitToHeight="7" orientation="landscape" r:id="rId1"/>
  <headerFooter>
    <oddFooter>&amp;C&amp;9Страница  &amp;P из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E721A140-F981-495E-9C9A-C3A4B5475B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Исходные!F49:P49</xm:f>
              <xm:sqref>R49</xm:sqref>
            </x14:sparkline>
          </x14:sparklines>
        </x14:sparklineGroup>
        <x14:sparklineGroup manualMax="0" manualMin="0" displayEmptyCellsAs="gap" xr2:uid="{17727F5B-525F-4239-8081-3CAB8C2EBE6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Исходные!F71:P71</xm:f>
              <xm:sqref>R71</xm:sqref>
            </x14:sparkline>
          </x14:sparklines>
        </x14:sparklineGroup>
        <x14:sparklineGroup manualMax="0" manualMin="0" displayEmptyCellsAs="gap" xr2:uid="{11A5DE1A-29A3-4978-A06D-279DF42E858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Исходные!F72:P72</xm:f>
              <xm:sqref>R72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1C63-457A-41EF-95BC-831187A4D05E}">
  <sheetPr codeName="Лист11">
    <tabColor theme="5" tint="0.79998168889431442"/>
    <outlinePr summaryRight="0"/>
    <pageSetUpPr fitToPage="1"/>
  </sheetPr>
  <dimension ref="A1:AD34"/>
  <sheetViews>
    <sheetView zoomScaleNormal="100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B17" sqref="B17"/>
    </sheetView>
  </sheetViews>
  <sheetFormatPr defaultRowHeight="15" outlineLevelCol="1" x14ac:dyDescent="0.25"/>
  <cols>
    <col min="1" max="1" width="11.5703125" customWidth="1"/>
    <col min="2" max="2" width="27.7109375" style="2" customWidth="1"/>
    <col min="3" max="3" width="11" style="5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324</v>
      </c>
      <c r="B1" s="167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167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92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264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71"/>
    </row>
    <row r="5" spans="1:30" x14ac:dyDescent="0.25">
      <c r="A5" s="257" t="s">
        <v>174</v>
      </c>
      <c r="B5" s="92"/>
      <c r="C5" s="78"/>
      <c r="D5" s="78"/>
      <c r="E5" s="71"/>
      <c r="F5" s="78"/>
      <c r="G5" s="78"/>
      <c r="H5" s="78"/>
      <c r="I5" s="78"/>
      <c r="J5" s="78"/>
      <c r="K5" s="78"/>
      <c r="L5" s="78"/>
      <c r="M5" s="78"/>
      <c r="N5" s="78"/>
      <c r="O5" s="78"/>
      <c r="P5" s="672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ht="43.5" x14ac:dyDescent="0.25">
      <c r="A6" s="258" t="s">
        <v>178</v>
      </c>
      <c r="B6" s="183" t="str">
        <f ca="1">CONCATENATE("DCF накопленным итогом при ставке дисконтирования ",ROUND(D11*100,2),"%")</f>
        <v>DCF накопленным итогом при ставке дисконтирования 11,36%</v>
      </c>
      <c r="C6" s="270" t="s">
        <v>19</v>
      </c>
      <c r="D6" s="274">
        <f ca="1">XNPV(D11,F32:O32,F29:O29)</f>
        <v>130917.76033869467</v>
      </c>
      <c r="E6" s="71"/>
      <c r="F6" s="250">
        <f ca="1">XNPV($D$11,$F$32:F32,$F$29:F29)</f>
        <v>-26422.135733333333</v>
      </c>
      <c r="G6" s="250">
        <f ca="1">XNPV($D$11,$F$32:G32,$F$29:G29)</f>
        <v>-89828.651884364226</v>
      </c>
      <c r="H6" s="250">
        <f ca="1">XNPV($D$11,$F$32:H32,$F$29:H29)</f>
        <v>-101344.11955592071</v>
      </c>
      <c r="I6" s="250">
        <f ca="1">XNPV($D$11,$F$32:I32,$F$29:I29)</f>
        <v>-64433.781152236152</v>
      </c>
      <c r="J6" s="250">
        <f ca="1">XNPV($D$11,$F$32:J32,$F$29:J29)</f>
        <v>-28493.197334378528</v>
      </c>
      <c r="K6" s="250">
        <f ca="1">XNPV($D$11,$F$32:K32,$F$29:K29)</f>
        <v>6325.9266713910838</v>
      </c>
      <c r="L6" s="250">
        <f ca="1">XNPV($D$11,$F$32:L32,$F$29:L29)</f>
        <v>40012.467912696346</v>
      </c>
      <c r="M6" s="250">
        <f ca="1">XNPV($D$11,$F$32:M32,$F$29:M29)</f>
        <v>72528.198727929281</v>
      </c>
      <c r="N6" s="250">
        <f ca="1">XNPV($D$11,$F$32:N32,$F$29:N29)</f>
        <v>102315.851189993</v>
      </c>
      <c r="O6" s="250">
        <f ca="1">XNPV($D$11,$F$32:O32,$F$29:O29)</f>
        <v>130917.76033869467</v>
      </c>
      <c r="P6" s="386"/>
      <c r="Q6" s="159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71"/>
      <c r="AC6" s="71"/>
      <c r="AD6" s="71"/>
    </row>
    <row r="7" spans="1:30" x14ac:dyDescent="0.25">
      <c r="A7" s="259"/>
      <c r="B7" s="183" t="s">
        <v>694</v>
      </c>
      <c r="C7" s="271" t="s">
        <v>131</v>
      </c>
      <c r="D7" s="275">
        <f ca="1">SUM(F7:O7)+1</f>
        <v>6</v>
      </c>
      <c r="E7" s="71"/>
      <c r="F7" s="17">
        <f t="shared" ref="F7:O7" ca="1" si="2">IF(F33&lt;0,1,0)</f>
        <v>1</v>
      </c>
      <c r="G7" s="17">
        <f t="shared" ca="1" si="2"/>
        <v>1</v>
      </c>
      <c r="H7" s="17">
        <f t="shared" ca="1" si="2"/>
        <v>1</v>
      </c>
      <c r="I7" s="17">
        <f t="shared" ca="1" si="2"/>
        <v>1</v>
      </c>
      <c r="J7" s="17">
        <f t="shared" ca="1" si="2"/>
        <v>1</v>
      </c>
      <c r="K7" s="17">
        <f t="shared" ca="1" si="2"/>
        <v>0</v>
      </c>
      <c r="L7" s="17">
        <f t="shared" ca="1" si="2"/>
        <v>0</v>
      </c>
      <c r="M7" s="17">
        <f t="shared" ca="1" si="2"/>
        <v>0</v>
      </c>
      <c r="N7" s="17">
        <f t="shared" ca="1" si="2"/>
        <v>0</v>
      </c>
      <c r="O7" s="17">
        <f t="shared" ca="1" si="2"/>
        <v>0</v>
      </c>
      <c r="P7" s="17"/>
      <c r="Q7" s="159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71"/>
      <c r="AC7" s="71"/>
      <c r="AD7" s="71"/>
    </row>
    <row r="8" spans="1:30" ht="29.25" x14ac:dyDescent="0.25">
      <c r="A8" s="259"/>
      <c r="B8" s="183" t="s">
        <v>695</v>
      </c>
      <c r="C8" s="271" t="s">
        <v>131</v>
      </c>
      <c r="D8" s="275">
        <f ca="1">SUM(F8:O8)+1</f>
        <v>6</v>
      </c>
      <c r="E8" s="71"/>
      <c r="F8" s="17">
        <f t="shared" ref="F8:O8" ca="1" si="3">IF(F6&lt;0,1,0)</f>
        <v>1</v>
      </c>
      <c r="G8" s="17">
        <f t="shared" ca="1" si="3"/>
        <v>1</v>
      </c>
      <c r="H8" s="17">
        <f t="shared" ca="1" si="3"/>
        <v>1</v>
      </c>
      <c r="I8" s="17">
        <f t="shared" ca="1" si="3"/>
        <v>1</v>
      </c>
      <c r="J8" s="17">
        <f t="shared" ca="1" si="3"/>
        <v>1</v>
      </c>
      <c r="K8" s="17">
        <f t="shared" ca="1" si="3"/>
        <v>0</v>
      </c>
      <c r="L8" s="17">
        <f t="shared" ca="1" si="3"/>
        <v>0</v>
      </c>
      <c r="M8" s="17">
        <f t="shared" ca="1" si="3"/>
        <v>0</v>
      </c>
      <c r="N8" s="17">
        <f t="shared" ca="1" si="3"/>
        <v>0</v>
      </c>
      <c r="O8" s="17">
        <f t="shared" ca="1" si="3"/>
        <v>0</v>
      </c>
      <c r="P8" s="17"/>
      <c r="Q8" s="159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71"/>
      <c r="AC8" s="71"/>
      <c r="AD8" s="71"/>
    </row>
    <row r="9" spans="1:30" ht="43.5" x14ac:dyDescent="0.25">
      <c r="A9" s="258" t="s">
        <v>180</v>
      </c>
      <c r="B9" s="183" t="s">
        <v>696</v>
      </c>
      <c r="C9" s="271" t="s">
        <v>27</v>
      </c>
      <c r="D9" s="276">
        <f ca="1">XIRR(F32:O32,F29:O29)</f>
        <v>0.32991750836372369</v>
      </c>
      <c r="E9" s="7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672"/>
      <c r="Q9" s="159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71"/>
      <c r="AC9" s="71"/>
      <c r="AD9" s="71"/>
    </row>
    <row r="10" spans="1:30" ht="42.75" x14ac:dyDescent="0.25">
      <c r="A10" s="260"/>
      <c r="B10" s="265" t="str">
        <f ca="1">CONCATENATE("PI - индекс доходности при ставке дисконтирования ",ROUND(D11*100,2),"%")</f>
        <v>PI - индекс доходности при ставке дисконтирования 11,36%</v>
      </c>
      <c r="C10" s="271" t="s">
        <v>115</v>
      </c>
      <c r="D10" s="277">
        <f ca="1">D6/-D31</f>
        <v>1.7455701378492623</v>
      </c>
      <c r="E10" s="7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672"/>
      <c r="Q10" s="159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71"/>
      <c r="AC10" s="71"/>
      <c r="AD10" s="71"/>
    </row>
    <row r="11" spans="1:30" x14ac:dyDescent="0.25">
      <c r="A11" s="261" t="str" cm="1">
        <f t="array" aca="1" ref="A11" ca="1">HYPERLINK(CELL("адрес",Макро!B17),"источник")</f>
        <v>источник</v>
      </c>
      <c r="B11" s="265" t="s">
        <v>177</v>
      </c>
      <c r="C11" s="271" t="s">
        <v>27</v>
      </c>
      <c r="D11" s="278">
        <f ca="1">Макро!$F$17</f>
        <v>0.11356407843137253</v>
      </c>
      <c r="E11" s="71"/>
      <c r="F11" s="252" t="s">
        <v>780</v>
      </c>
      <c r="G11" s="251"/>
      <c r="H11" s="251"/>
      <c r="I11" s="251"/>
      <c r="J11" s="251"/>
      <c r="K11" s="251"/>
      <c r="L11" s="251"/>
      <c r="M11" s="251"/>
      <c r="N11" s="251"/>
      <c r="O11" s="251"/>
      <c r="P11" s="672"/>
      <c r="Q11" s="159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71"/>
      <c r="AC11" s="256"/>
      <c r="AD11" s="256"/>
    </row>
    <row r="12" spans="1:30" x14ac:dyDescent="0.25">
      <c r="A12" s="149"/>
      <c r="B12" s="178"/>
      <c r="C12" s="197"/>
      <c r="D12" s="149"/>
      <c r="E12" s="71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38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149"/>
      <c r="B13" s="178"/>
      <c r="C13" s="197"/>
      <c r="D13" s="149"/>
      <c r="E13" s="71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149"/>
      <c r="B14" s="178"/>
      <c r="C14" s="197"/>
      <c r="D14" s="149"/>
      <c r="E14" s="71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149"/>
      <c r="B15" s="178"/>
      <c r="C15" s="197"/>
      <c r="D15" s="149"/>
      <c r="E15" s="71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149"/>
      <c r="B16" s="178"/>
      <c r="C16" s="197"/>
      <c r="D16" s="149"/>
      <c r="E16" s="71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27" x14ac:dyDescent="0.25">
      <c r="A17" s="149"/>
      <c r="B17" s="178"/>
      <c r="C17" s="197"/>
      <c r="D17" s="149"/>
      <c r="E17" s="71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386"/>
      <c r="Q17" s="159"/>
      <c r="R17" s="71"/>
      <c r="S17" s="71"/>
      <c r="T17" s="71"/>
      <c r="U17" s="71"/>
      <c r="V17" s="71"/>
      <c r="W17" s="71"/>
      <c r="X17" s="71"/>
      <c r="Y17" s="71"/>
      <c r="Z17" s="71"/>
      <c r="AA17" s="71"/>
    </row>
    <row r="18" spans="1:27" x14ac:dyDescent="0.25">
      <c r="A18" s="149"/>
      <c r="B18" s="178"/>
      <c r="C18" s="197"/>
      <c r="D18" s="149"/>
      <c r="E18" s="71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386"/>
      <c r="Q18" s="159"/>
      <c r="R18" s="71"/>
      <c r="S18" s="71"/>
      <c r="T18" s="71"/>
      <c r="U18" s="71"/>
      <c r="V18" s="71"/>
      <c r="W18" s="71"/>
      <c r="X18" s="71"/>
      <c r="Y18" s="71"/>
      <c r="Z18" s="71"/>
      <c r="AA18" s="71"/>
    </row>
    <row r="19" spans="1:27" x14ac:dyDescent="0.25">
      <c r="A19" s="149"/>
      <c r="B19" s="178"/>
      <c r="C19" s="197"/>
      <c r="D19" s="149"/>
      <c r="E19" s="71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386"/>
      <c r="Q19" s="159"/>
      <c r="R19" s="71"/>
      <c r="S19" s="71"/>
      <c r="T19" s="71"/>
      <c r="U19" s="71"/>
      <c r="V19" s="71"/>
      <c r="W19" s="71"/>
      <c r="X19" s="71"/>
      <c r="Y19" s="71"/>
      <c r="Z19" s="71"/>
      <c r="AA19" s="71"/>
    </row>
    <row r="20" spans="1:27" x14ac:dyDescent="0.25">
      <c r="A20" s="149"/>
      <c r="B20" s="178"/>
      <c r="C20" s="197"/>
      <c r="D20" s="149"/>
      <c r="E20" s="71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386"/>
      <c r="Q20" s="159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1" spans="1:27" x14ac:dyDescent="0.25">
      <c r="A21" s="149"/>
      <c r="B21" s="178"/>
      <c r="C21" s="197"/>
      <c r="D21" s="149"/>
      <c r="E21" s="71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386"/>
      <c r="Q21" s="159"/>
      <c r="R21" s="71"/>
      <c r="S21" s="71"/>
      <c r="T21" s="71"/>
      <c r="U21" s="71"/>
      <c r="V21" s="71"/>
      <c r="W21" s="71"/>
      <c r="X21" s="71"/>
      <c r="Y21" s="71"/>
      <c r="Z21" s="71"/>
      <c r="AA21" s="71"/>
    </row>
    <row r="22" spans="1:27" x14ac:dyDescent="0.25">
      <c r="A22" s="149"/>
      <c r="B22" s="178"/>
      <c r="C22" s="197"/>
      <c r="D22" s="149"/>
      <c r="E22" s="71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386"/>
      <c r="Q22" s="159"/>
      <c r="R22" s="71"/>
      <c r="S22" s="71"/>
      <c r="T22" s="71"/>
      <c r="U22" s="71"/>
      <c r="V22" s="71"/>
      <c r="W22" s="71"/>
      <c r="X22" s="71"/>
      <c r="Y22" s="71"/>
      <c r="Z22" s="71"/>
      <c r="AA22" s="71"/>
    </row>
    <row r="23" spans="1:27" x14ac:dyDescent="0.25">
      <c r="A23" s="149"/>
      <c r="B23" s="178"/>
      <c r="C23" s="197"/>
      <c r="D23" s="149"/>
      <c r="E23" s="71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386"/>
      <c r="Q23" s="159"/>
      <c r="R23" s="71"/>
      <c r="S23" s="71"/>
      <c r="T23" s="71"/>
      <c r="U23" s="71"/>
      <c r="V23" s="71"/>
      <c r="W23" s="71"/>
      <c r="X23" s="71"/>
      <c r="Y23" s="71"/>
      <c r="Z23" s="71"/>
      <c r="AA23" s="71"/>
    </row>
    <row r="24" spans="1:27" x14ac:dyDescent="0.25">
      <c r="A24" s="149"/>
      <c r="B24" s="178"/>
      <c r="C24" s="197"/>
      <c r="D24" s="149"/>
      <c r="E24" s="71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386"/>
      <c r="Q24" s="159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x14ac:dyDescent="0.25">
      <c r="A25" s="149"/>
      <c r="B25" s="178"/>
      <c r="C25" s="197"/>
      <c r="D25" s="149"/>
      <c r="E25" s="71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386"/>
      <c r="Q25" s="159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ht="15.75" thickBot="1" x14ac:dyDescent="0.3">
      <c r="A26" s="132"/>
      <c r="B26" s="179"/>
      <c r="C26" s="192"/>
      <c r="D26" s="132"/>
      <c r="E26" s="7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71"/>
      <c r="Q26" s="159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ht="7.15" customHeight="1" x14ac:dyDescent="0.25">
      <c r="A27" s="149"/>
      <c r="B27" s="178"/>
      <c r="C27" s="149"/>
      <c r="D27" s="149"/>
      <c r="E27" s="7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9" spans="1:27" s="16" customFormat="1" ht="24" x14ac:dyDescent="0.25">
      <c r="A29" s="262"/>
      <c r="B29" s="266" t="s">
        <v>781</v>
      </c>
      <c r="C29" s="272"/>
      <c r="D29" s="262"/>
      <c r="E29" s="249"/>
      <c r="F29" s="253">
        <v>46022</v>
      </c>
      <c r="G29" s="253">
        <v>46387</v>
      </c>
      <c r="H29" s="253">
        <v>46752</v>
      </c>
      <c r="I29" s="253">
        <v>47118</v>
      </c>
      <c r="J29" s="253">
        <v>47483</v>
      </c>
      <c r="K29" s="253">
        <v>47848</v>
      </c>
      <c r="L29" s="253">
        <v>48213</v>
      </c>
      <c r="M29" s="253">
        <v>48579</v>
      </c>
      <c r="N29" s="253">
        <v>48944</v>
      </c>
      <c r="O29" s="253">
        <v>49309</v>
      </c>
      <c r="P29" s="711"/>
      <c r="Q29" s="159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30" x14ac:dyDescent="0.25">
      <c r="A30" s="263" t="str" cm="1">
        <f t="array" aca="1" ref="A30" ca="1">HYPERLINK(CELL("адрес",БДДС!A27),"источник")</f>
        <v>источник</v>
      </c>
      <c r="B30" s="267" t="s">
        <v>907</v>
      </c>
      <c r="C30" s="273" t="s">
        <v>19</v>
      </c>
      <c r="D30" s="279">
        <f ca="1">SUM(F30:O30)</f>
        <v>408745.67162973888</v>
      </c>
      <c r="E30" s="249"/>
      <c r="F30" s="254">
        <f ca="1">БДДС!F27</f>
        <v>-8088.8023999999996</v>
      </c>
      <c r="G30" s="254">
        <f ca="1">БДДС!G27</f>
        <v>-13940.552057599998</v>
      </c>
      <c r="H30" s="254">
        <f ca="1">БДДС!H27</f>
        <v>-14279.467301639401</v>
      </c>
      <c r="I30" s="254">
        <f ca="1">БДДС!I27</f>
        <v>50982.561598184227</v>
      </c>
      <c r="J30" s="254">
        <f ca="1">БДДС!J27</f>
        <v>55280.755040484219</v>
      </c>
      <c r="K30" s="254">
        <f ca="1">БДДС!K27</f>
        <v>59637.838187022237</v>
      </c>
      <c r="L30" s="254">
        <f ca="1">БДДС!L27</f>
        <v>64250.377941742932</v>
      </c>
      <c r="M30" s="254">
        <f ca="1">БДДС!M27</f>
        <v>69080.581371359804</v>
      </c>
      <c r="N30" s="254">
        <f ca="1">БДДС!N27</f>
        <v>70471.571368738878</v>
      </c>
      <c r="O30" s="254">
        <f ca="1">БДДС!O27</f>
        <v>75350.807881446002</v>
      </c>
      <c r="P30" s="712"/>
      <c r="Q30" s="159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30" x14ac:dyDescent="0.25">
      <c r="A31" s="263" t="str" cm="1">
        <f t="array" aca="1" ref="A31" ca="1">HYPERLINK(CELL("адрес",БДДС!A38),"источник")</f>
        <v>источник</v>
      </c>
      <c r="B31" s="267" t="s">
        <v>908</v>
      </c>
      <c r="C31" s="273" t="s">
        <v>19</v>
      </c>
      <c r="D31" s="279">
        <f>SUM(F31:O31)</f>
        <v>-75000</v>
      </c>
      <c r="E31" s="249"/>
      <c r="F31" s="254">
        <f>БДДС!F38</f>
        <v>-18333.333333333332</v>
      </c>
      <c r="G31" s="254">
        <f>БДДС!G38</f>
        <v>-56666.666666666664</v>
      </c>
      <c r="H31" s="254">
        <f>БДДС!H38</f>
        <v>0</v>
      </c>
      <c r="I31" s="254">
        <f>БДДС!I38</f>
        <v>0</v>
      </c>
      <c r="J31" s="254">
        <f>БДДС!J38</f>
        <v>0</v>
      </c>
      <c r="K31" s="254">
        <f>БДДС!K38</f>
        <v>0</v>
      </c>
      <c r="L31" s="254">
        <f>БДДС!L38</f>
        <v>0</v>
      </c>
      <c r="M31" s="254">
        <f>БДДС!M38</f>
        <v>0</v>
      </c>
      <c r="N31" s="254">
        <f>БДДС!N38</f>
        <v>0</v>
      </c>
      <c r="O31" s="254">
        <f>БДДС!O38</f>
        <v>0</v>
      </c>
      <c r="P31" s="712"/>
      <c r="Q31" s="159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28.5" x14ac:dyDescent="0.25">
      <c r="A32" s="262"/>
      <c r="B32" s="268" t="s">
        <v>887</v>
      </c>
      <c r="C32" s="273" t="s">
        <v>19</v>
      </c>
      <c r="D32" s="255">
        <f ca="1">SUM(D30:D31)</f>
        <v>333745.67162973888</v>
      </c>
      <c r="E32" s="249"/>
      <c r="F32" s="255">
        <f ca="1">SUM(F30:F31)</f>
        <v>-26422.135733333333</v>
      </c>
      <c r="G32" s="255">
        <f t="shared" ref="G32:O32" ca="1" si="4">SUM(G30:G31)</f>
        <v>-70607.218724266655</v>
      </c>
      <c r="H32" s="255">
        <f t="shared" ca="1" si="4"/>
        <v>-14279.467301639401</v>
      </c>
      <c r="I32" s="255">
        <f t="shared" ca="1" si="4"/>
        <v>50982.561598184227</v>
      </c>
      <c r="J32" s="255">
        <f t="shared" ca="1" si="4"/>
        <v>55280.755040484219</v>
      </c>
      <c r="K32" s="255">
        <f t="shared" ca="1" si="4"/>
        <v>59637.838187022237</v>
      </c>
      <c r="L32" s="255">
        <f t="shared" ca="1" si="4"/>
        <v>64250.377941742932</v>
      </c>
      <c r="M32" s="255">
        <f t="shared" ca="1" si="4"/>
        <v>69080.581371359804</v>
      </c>
      <c r="N32" s="255">
        <f t="shared" ca="1" si="4"/>
        <v>70471.571368738878</v>
      </c>
      <c r="O32" s="255">
        <f t="shared" ca="1" si="4"/>
        <v>75350.807881446002</v>
      </c>
      <c r="P32" s="713"/>
      <c r="Q32" s="159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17" ht="30" x14ac:dyDescent="0.25">
      <c r="A33" s="262"/>
      <c r="B33" s="269" t="s">
        <v>888</v>
      </c>
      <c r="C33" s="273" t="s">
        <v>19</v>
      </c>
      <c r="D33" s="262"/>
      <c r="E33" s="249"/>
      <c r="F33" s="254">
        <f ca="1">F32</f>
        <v>-26422.135733333333</v>
      </c>
      <c r="G33" s="254">
        <f t="shared" ref="G33:O33" ca="1" si="5">F33+G32</f>
        <v>-97029.354457599984</v>
      </c>
      <c r="H33" s="254">
        <f t="shared" ca="1" si="5"/>
        <v>-111308.82175923939</v>
      </c>
      <c r="I33" s="254">
        <f t="shared" ca="1" si="5"/>
        <v>-60326.260161055165</v>
      </c>
      <c r="J33" s="254">
        <f t="shared" ca="1" si="5"/>
        <v>-5045.505120570946</v>
      </c>
      <c r="K33" s="254">
        <f t="shared" ca="1" si="5"/>
        <v>54592.333066451291</v>
      </c>
      <c r="L33" s="254">
        <f t="shared" ca="1" si="5"/>
        <v>118842.71100819422</v>
      </c>
      <c r="M33" s="254">
        <f t="shared" ca="1" si="5"/>
        <v>187923.29237955401</v>
      </c>
      <c r="N33" s="254">
        <f t="shared" ca="1" si="5"/>
        <v>258394.8637482929</v>
      </c>
      <c r="O33" s="254">
        <f t="shared" ca="1" si="5"/>
        <v>333745.67162973888</v>
      </c>
      <c r="P33" s="712"/>
      <c r="Q33" s="159"/>
    </row>
    <row r="34" spans="1:17" x14ac:dyDescent="0.25">
      <c r="A34" s="149"/>
      <c r="B34" s="149"/>
      <c r="C34" s="149"/>
      <c r="D34" s="149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59"/>
    </row>
  </sheetData>
  <hyperlinks>
    <hyperlink ref="I1" location="Контроль!A1" display="Контроль!A1" xr:uid="{E09614F5-F4CC-4242-ACE9-A617B0E83B03}"/>
  </hyperlinks>
  <pageMargins left="0.70866141732283472" right="0.70866141732283472" top="0.74803149606299213" bottom="0.74803149606299213" header="0.31496062992125984" footer="0.31496062992125984"/>
  <pageSetup paperSize="9" scale="86" fitToHeight="2" orientation="landscape" r:id="rId1"/>
  <headerFooter>
    <oddFooter>&amp;C&amp;9Страница  &amp;P из &amp;N&amp;R&amp;G</oddFooter>
  </headerFooter>
  <ignoredErrors>
    <ignoredError sqref="G6:N6" formulaRange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F7E2-EF1A-44D4-A0A9-E87A88A3573F}">
  <sheetPr codeName="Лист28">
    <tabColor theme="5" tint="0.79998168889431442"/>
    <pageSetUpPr fitToPage="1"/>
  </sheetPr>
  <dimension ref="A1:R112"/>
  <sheetViews>
    <sheetView zoomScale="115" zoomScaleNormal="115" workbookViewId="0">
      <pane xSplit="1" ySplit="1" topLeftCell="B2" activePane="bottomRight" state="frozen"/>
      <selection activeCell="C1" sqref="C1"/>
      <selection pane="topRight" activeCell="C1" sqref="C1"/>
      <selection pane="bottomLeft" activeCell="C1" sqref="C1"/>
      <selection pane="bottomRight" activeCell="D115" sqref="D115"/>
    </sheetView>
  </sheetViews>
  <sheetFormatPr defaultColWidth="9.140625" defaultRowHeight="15" x14ac:dyDescent="0.25"/>
  <cols>
    <col min="1" max="1" width="4.140625" style="26" customWidth="1"/>
    <col min="2" max="2" width="36.85546875" style="26" customWidth="1"/>
    <col min="3" max="3" width="12.28515625" style="26" customWidth="1"/>
    <col min="4" max="13" width="8.5703125" style="26" customWidth="1"/>
    <col min="14" max="14" width="2.5703125" style="26" customWidth="1"/>
    <col min="15" max="15" width="2.28515625" style="26" customWidth="1"/>
    <col min="16" max="16" width="12.85546875" style="27" customWidth="1"/>
    <col min="17" max="17" width="9.140625" style="27"/>
    <col min="18" max="16384" width="9.140625" style="26"/>
  </cols>
  <sheetData>
    <row r="1" spans="1:18" ht="30.4" customHeight="1" x14ac:dyDescent="0.25">
      <c r="A1" s="690" t="s">
        <v>771</v>
      </c>
      <c r="B1" s="282"/>
      <c r="C1" s="304"/>
      <c r="D1" s="304"/>
      <c r="E1" s="304"/>
      <c r="F1" s="304"/>
      <c r="G1" s="282"/>
      <c r="H1" s="282"/>
      <c r="I1" s="282"/>
      <c r="J1" s="282"/>
      <c r="K1" s="282"/>
      <c r="L1" s="282"/>
      <c r="M1" s="282"/>
      <c r="N1" s="282"/>
      <c r="O1" s="320"/>
      <c r="P1" s="322" t="s">
        <v>587</v>
      </c>
      <c r="Q1" s="323"/>
      <c r="R1" s="282"/>
    </row>
    <row r="2" spans="1:18" x14ac:dyDescent="0.2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320"/>
      <c r="P2" s="323"/>
      <c r="Q2" s="323"/>
      <c r="R2" s="282"/>
    </row>
    <row r="3" spans="1:18" x14ac:dyDescent="0.25">
      <c r="A3" s="282"/>
      <c r="B3" s="336" t="str">
        <f>Паспорт_ФМ_резидент!B7</f>
        <v>Название инвест. проект 01</v>
      </c>
      <c r="C3" s="282"/>
      <c r="D3" s="282"/>
      <c r="E3" s="282"/>
      <c r="F3" s="282"/>
      <c r="G3" s="282"/>
      <c r="H3" s="307"/>
      <c r="I3" s="307"/>
      <c r="J3" s="307"/>
      <c r="K3" s="307"/>
      <c r="L3" s="307"/>
      <c r="M3" s="282"/>
      <c r="N3" s="282"/>
      <c r="O3" s="320"/>
      <c r="P3" s="324" t="str" cm="1">
        <f t="array" aca="1" ref="P3" ca="1">HYPERLINK(CELL("адрес",Паспорт_ФМ_резидент!B7),"перейти")</f>
        <v>перейти</v>
      </c>
      <c r="Q3" s="323"/>
      <c r="R3" s="282"/>
    </row>
    <row r="4" spans="1:18" x14ac:dyDescent="0.25">
      <c r="A4" s="282"/>
      <c r="B4" s="337" t="s">
        <v>523</v>
      </c>
      <c r="C4" s="362" t="s">
        <v>504</v>
      </c>
      <c r="D4" s="362" t="s">
        <v>505</v>
      </c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320"/>
      <c r="P4" s="325" t="s">
        <v>504</v>
      </c>
      <c r="Q4" s="325" t="s">
        <v>505</v>
      </c>
      <c r="R4" s="282"/>
    </row>
    <row r="5" spans="1:18" x14ac:dyDescent="0.25">
      <c r="A5" s="282"/>
      <c r="B5" s="338" t="s">
        <v>589</v>
      </c>
      <c r="C5" s="363">
        <f>ROUND(Инвестиции!$D$9/1000,0)</f>
        <v>75</v>
      </c>
      <c r="D5" s="363">
        <f>ROUND(Инвестиции!$D$7/1000,0)</f>
        <v>90</v>
      </c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320"/>
      <c r="P5" s="324" t="str" cm="1">
        <f t="array" aca="1" ref="P5" ca="1">HYPERLINK(CELL("адрес",Инвестиции!B9),"перейти")</f>
        <v>перейти</v>
      </c>
      <c r="Q5" s="324" t="str" cm="1">
        <f t="array" aca="1" ref="Q5" ca="1">HYPERLINK(CELL("адрес",Инвестиции!B7),"перейти")</f>
        <v>перейти</v>
      </c>
      <c r="R5" s="282"/>
    </row>
    <row r="6" spans="1:18" ht="25.5" x14ac:dyDescent="0.25">
      <c r="A6" s="282"/>
      <c r="B6" s="338" t="s">
        <v>506</v>
      </c>
      <c r="C6" s="363" t="s">
        <v>588</v>
      </c>
      <c r="D6" s="363" t="s">
        <v>507</v>
      </c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320"/>
      <c r="P6" s="323"/>
      <c r="Q6" s="323"/>
      <c r="R6" s="282"/>
    </row>
    <row r="7" spans="1:18" x14ac:dyDescent="0.25">
      <c r="A7" s="282"/>
      <c r="B7" s="338" t="s">
        <v>508</v>
      </c>
      <c r="C7" s="363" t="s">
        <v>509</v>
      </c>
      <c r="D7" s="363" t="s">
        <v>510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320"/>
      <c r="P7" s="323"/>
      <c r="Q7" s="323"/>
      <c r="R7" s="282"/>
    </row>
    <row r="8" spans="1:18" x14ac:dyDescent="0.25">
      <c r="A8" s="282"/>
      <c r="B8" s="338" t="s">
        <v>511</v>
      </c>
      <c r="C8" s="364">
        <v>2027</v>
      </c>
      <c r="D8" s="363" t="s">
        <v>507</v>
      </c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320"/>
      <c r="P8" s="323"/>
      <c r="Q8" s="323"/>
      <c r="R8" s="282"/>
    </row>
    <row r="9" spans="1:18" ht="25.5" x14ac:dyDescent="0.25">
      <c r="A9" s="282"/>
      <c r="B9" s="338" t="s">
        <v>512</v>
      </c>
      <c r="C9" s="363">
        <v>0</v>
      </c>
      <c r="D9" s="363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320"/>
      <c r="P9" s="323"/>
      <c r="Q9" s="323"/>
      <c r="R9" s="282"/>
    </row>
    <row r="10" spans="1:18" x14ac:dyDescent="0.25">
      <c r="A10" s="282"/>
      <c r="B10" s="338" t="s">
        <v>177</v>
      </c>
      <c r="C10" s="365">
        <f ca="1">КПЭ!D11</f>
        <v>0.11356407843137253</v>
      </c>
      <c r="D10" s="363" t="s">
        <v>27</v>
      </c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320"/>
      <c r="P10" s="324" t="str" cm="1">
        <f t="array" aca="1" ref="P10" ca="1">HYPERLINK(CELL("адрес",КПЭ!D11),"перейти")</f>
        <v>перейти</v>
      </c>
      <c r="Q10" s="323"/>
      <c r="R10" s="282"/>
    </row>
    <row r="11" spans="1:18" x14ac:dyDescent="0.25">
      <c r="A11" s="282"/>
      <c r="B11" s="338" t="s">
        <v>489</v>
      </c>
      <c r="C11" s="366">
        <f ca="1">SUM(C12:C13)</f>
        <v>125</v>
      </c>
      <c r="D11" s="363" t="s">
        <v>513</v>
      </c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320"/>
      <c r="P11" s="324" t="s">
        <v>591</v>
      </c>
      <c r="Q11" s="323"/>
      <c r="R11" s="282"/>
    </row>
    <row r="12" spans="1:18" x14ac:dyDescent="0.25">
      <c r="A12" s="282"/>
      <c r="B12" s="338" t="s">
        <v>514</v>
      </c>
      <c r="C12" s="363">
        <f>M32</f>
        <v>30</v>
      </c>
      <c r="D12" s="363" t="s">
        <v>513</v>
      </c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320"/>
      <c r="P12" s="324" t="s">
        <v>591</v>
      </c>
      <c r="Q12" s="323"/>
      <c r="R12" s="282"/>
    </row>
    <row r="13" spans="1:18" x14ac:dyDescent="0.25">
      <c r="A13" s="282"/>
      <c r="B13" s="338" t="s">
        <v>515</v>
      </c>
      <c r="C13" s="363">
        <f ca="1">M33</f>
        <v>95</v>
      </c>
      <c r="D13" s="363" t="s">
        <v>513</v>
      </c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320"/>
      <c r="P13" s="324" t="s">
        <v>591</v>
      </c>
      <c r="Q13" s="323"/>
      <c r="R13" s="282"/>
    </row>
    <row r="14" spans="1:18" x14ac:dyDescent="0.25">
      <c r="A14" s="282"/>
      <c r="B14" s="339"/>
      <c r="C14" s="367"/>
      <c r="D14" s="367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320"/>
      <c r="P14" s="324"/>
      <c r="Q14" s="323"/>
      <c r="R14" s="282"/>
    </row>
    <row r="15" spans="1:18" x14ac:dyDescent="0.25">
      <c r="A15" s="282"/>
      <c r="B15" s="340" t="str">
        <f>CONCATENATE("Финансовые показатели проекта, на ", M25," год")</f>
        <v>Финансовые показатели проекта, на 2035 год</v>
      </c>
      <c r="C15" s="282"/>
      <c r="D15" s="307"/>
      <c r="E15" s="282"/>
      <c r="F15" s="282"/>
      <c r="G15" s="306" t="s">
        <v>776</v>
      </c>
      <c r="H15" s="282"/>
      <c r="I15" s="282"/>
      <c r="J15" s="282"/>
      <c r="K15" s="282"/>
      <c r="L15" s="282"/>
      <c r="M15" s="282"/>
      <c r="N15" s="282"/>
      <c r="O15" s="320"/>
      <c r="P15" s="323"/>
      <c r="Q15" s="323"/>
      <c r="R15" s="282"/>
    </row>
    <row r="16" spans="1:18" ht="51" x14ac:dyDescent="0.25">
      <c r="A16" s="326" t="s">
        <v>2</v>
      </c>
      <c r="B16" s="341" t="s">
        <v>532</v>
      </c>
      <c r="C16" s="305" t="s">
        <v>533</v>
      </c>
      <c r="D16" s="305" t="s">
        <v>534</v>
      </c>
      <c r="E16" s="305" t="s">
        <v>717</v>
      </c>
      <c r="F16" s="305" t="s">
        <v>770</v>
      </c>
      <c r="G16" s="282"/>
      <c r="H16" s="282"/>
      <c r="I16" s="282"/>
      <c r="J16" s="282"/>
      <c r="K16" s="282"/>
      <c r="L16" s="282"/>
      <c r="M16" s="282"/>
      <c r="N16" s="282"/>
      <c r="O16" s="320"/>
      <c r="P16" s="325" t="str">
        <f>C16</f>
        <v>Сценарий с льготами ОЭЗ</v>
      </c>
      <c r="Q16" s="325" t="str">
        <f>D16</f>
        <v>Сценарий без льгот ОЭЗ</v>
      </c>
      <c r="R16" s="325" t="str">
        <f>E16</f>
        <v>Чувствительность</v>
      </c>
    </row>
    <row r="17" spans="1:18" x14ac:dyDescent="0.25">
      <c r="A17" s="327">
        <v>1</v>
      </c>
      <c r="B17" s="287" t="s">
        <v>898</v>
      </c>
      <c r="C17" s="288">
        <f ca="1">ROUND(КПЭ!$D$6/1000,0)</f>
        <v>131</v>
      </c>
      <c r="D17" s="288">
        <f ca="1">ROUND(КПЭбезЛьгот!$D$6/1000,0)</f>
        <v>70</v>
      </c>
      <c r="E17" s="280">
        <f ca="1">ROUND(Чувствительность!D11/1000,0)</f>
        <v>131</v>
      </c>
      <c r="F17" s="282"/>
      <c r="G17" s="282"/>
      <c r="H17" s="282"/>
      <c r="I17" s="282"/>
      <c r="J17" s="282"/>
      <c r="K17" s="282"/>
      <c r="L17" s="282"/>
      <c r="M17" s="282"/>
      <c r="N17" s="282"/>
      <c r="O17" s="320"/>
      <c r="P17" s="324" t="str" cm="1">
        <f t="array" aca="1" ref="P17" ca="1">HYPERLINK(CELL("адрес",КПЭ!D6),"перейти")</f>
        <v>перейти</v>
      </c>
      <c r="Q17" s="324" t="str" cm="1">
        <f t="array" aca="1" ref="Q17" ca="1">HYPERLINK(CELL("адрес",КПЭбезЛьгот!D6),"перейти")</f>
        <v>перейти</v>
      </c>
      <c r="R17" s="324" t="str" cm="1">
        <f t="array" aca="1" ref="R17" ca="1">HYPERLINK(CELL("адрес",Чувствительность!$D$11),"перейти")</f>
        <v>перейти</v>
      </c>
    </row>
    <row r="18" spans="1:18" x14ac:dyDescent="0.25">
      <c r="A18" s="327">
        <v>2</v>
      </c>
      <c r="B18" s="287" t="s">
        <v>535</v>
      </c>
      <c r="C18" s="368">
        <f ca="1">ROUND(КПЭ!$D$9,3)</f>
        <v>0.33</v>
      </c>
      <c r="D18" s="374">
        <f ca="1">ROUND(КПЭбезЛьгот!$D$9,3)</f>
        <v>0.24199999999999999</v>
      </c>
      <c r="E18" s="377">
        <f ca="1">ROUND(Чувствительность!$D$14,3)</f>
        <v>0.33</v>
      </c>
      <c r="F18" s="282"/>
      <c r="G18" s="282"/>
      <c r="H18" s="282"/>
      <c r="I18" s="282"/>
      <c r="J18" s="282"/>
      <c r="K18" s="282"/>
      <c r="L18" s="282"/>
      <c r="M18" s="282"/>
      <c r="N18" s="282"/>
      <c r="O18" s="320"/>
      <c r="P18" s="324" t="str" cm="1">
        <f t="array" aca="1" ref="P18" ca="1">HYPERLINK(CELL("адрес",КПЭ!D9),"перейти")</f>
        <v>перейти</v>
      </c>
      <c r="Q18" s="324" t="str" cm="1">
        <f t="array" aca="1" ref="Q18" ca="1">HYPERLINK(CELL("адрес",КПЭбезЛьгот!D9),"перейти")</f>
        <v>перейти</v>
      </c>
      <c r="R18" s="324" t="str" cm="1">
        <f t="array" aca="1" ref="R18" ca="1">HYPERLINK(CELL("адрес",Чувствительность!$D$14),"перейти")</f>
        <v>перейти</v>
      </c>
    </row>
    <row r="19" spans="1:18" x14ac:dyDescent="0.25">
      <c r="A19" s="327">
        <v>3</v>
      </c>
      <c r="B19" s="287" t="s">
        <v>536</v>
      </c>
      <c r="C19" s="369">
        <f ca="1">ROUND(КПЭ!$D$7,1)</f>
        <v>6</v>
      </c>
      <c r="D19" s="369">
        <f ca="1">ROUND(КПЭбезЛьгот!$D$7,1)</f>
        <v>6</v>
      </c>
      <c r="E19" s="280">
        <f ca="1">Чувствительность!D12</f>
        <v>6</v>
      </c>
      <c r="F19" s="282"/>
      <c r="G19" s="282"/>
      <c r="H19" s="282"/>
      <c r="I19" s="282"/>
      <c r="J19" s="282"/>
      <c r="K19" s="282"/>
      <c r="L19" s="282"/>
      <c r="M19" s="282"/>
      <c r="N19" s="282"/>
      <c r="O19" s="320"/>
      <c r="P19" s="324" t="str" cm="1">
        <f t="array" aca="1" ref="P19" ca="1">HYPERLINK(CELL("адрес",КПЭ!D7),"перейти")</f>
        <v>перейти</v>
      </c>
      <c r="Q19" s="324" t="str" cm="1">
        <f t="array" aca="1" ref="Q19" ca="1">HYPERLINK(CELL("адрес",КПЭбезЛьгот!D7),"перейти")</f>
        <v>перейти</v>
      </c>
      <c r="R19" s="324" t="str" cm="1">
        <f t="array" aca="1" ref="R19" ca="1">HYPERLINK(CELL("адрес",Чувствительность!$D$12),"перейти")</f>
        <v>перейти</v>
      </c>
    </row>
    <row r="20" spans="1:18" x14ac:dyDescent="0.25">
      <c r="A20" s="327">
        <v>4</v>
      </c>
      <c r="B20" s="287" t="s">
        <v>718</v>
      </c>
      <c r="C20" s="369">
        <f ca="1">ROUND(КПЭ!$D$8,1)</f>
        <v>6</v>
      </c>
      <c r="D20" s="369">
        <f ca="1">ROUND(КПЭбезЛьгот!$D$8,1)</f>
        <v>7</v>
      </c>
      <c r="E20" s="280">
        <f ca="1">Чувствительность!D13</f>
        <v>6</v>
      </c>
      <c r="F20" s="282"/>
      <c r="G20" s="282"/>
      <c r="H20" s="282"/>
      <c r="I20" s="282"/>
      <c r="J20" s="282"/>
      <c r="K20" s="282"/>
      <c r="L20" s="282"/>
      <c r="M20" s="282"/>
      <c r="N20" s="282"/>
      <c r="O20" s="320"/>
      <c r="P20" s="324" t="str" cm="1">
        <f t="array" aca="1" ref="P20" ca="1">HYPERLINK(CELL("адрес",КПЭ!D8),"перейти")</f>
        <v>перейти</v>
      </c>
      <c r="Q20" s="324" t="str" cm="1">
        <f t="array" aca="1" ref="Q20" ca="1">HYPERLINK(CELL("адрес",КПЭбезЛьгот!D8),"перейти")</f>
        <v>перейти</v>
      </c>
      <c r="R20" s="324" t="str" cm="1">
        <f t="array" aca="1" ref="R20" ca="1">HYPERLINK(CELL("адрес",Чувствительность!$D$13),"перейти")</f>
        <v>перейти</v>
      </c>
    </row>
    <row r="21" spans="1:18" x14ac:dyDescent="0.25">
      <c r="A21" s="327">
        <v>5</v>
      </c>
      <c r="B21" s="287" t="s">
        <v>537</v>
      </c>
      <c r="C21" s="370">
        <f ca="1">КПЭ!D10</f>
        <v>1.7455701378492623</v>
      </c>
      <c r="D21" s="370">
        <f ca="1">КПЭбезЛьгот!D10</f>
        <v>0.93394326813789663</v>
      </c>
      <c r="E21" s="281">
        <f ca="1">Чувствительность!D15</f>
        <v>1.7455701378492623</v>
      </c>
      <c r="F21" s="282"/>
      <c r="G21" s="282"/>
      <c r="H21" s="282"/>
      <c r="I21" s="282"/>
      <c r="J21" s="282"/>
      <c r="K21" s="282"/>
      <c r="L21" s="282"/>
      <c r="M21" s="282"/>
      <c r="N21" s="282"/>
      <c r="O21" s="320"/>
      <c r="P21" s="324" t="str" cm="1">
        <f t="array" aca="1" ref="P21" ca="1">HYPERLINK(CELL("адрес",КПЭ!D10),"перейти")</f>
        <v>перейти</v>
      </c>
      <c r="Q21" s="324" t="str" cm="1">
        <f t="array" aca="1" ref="Q21" ca="1">HYPERLINK(CELL("адрес",КПЭбезЛьгот!D10),"перейти")</f>
        <v>перейти</v>
      </c>
      <c r="R21" s="324" t="str" cm="1">
        <f t="array" aca="1" ref="R21" ca="1">HYPERLINK(CELL("адрес",Чувствительность!$D$15),"перейти")</f>
        <v>перейти</v>
      </c>
    </row>
    <row r="22" spans="1:18" x14ac:dyDescent="0.25">
      <c r="A22" s="282"/>
      <c r="B22" s="339"/>
      <c r="C22" s="367"/>
      <c r="D22" s="367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320"/>
      <c r="P22" s="324"/>
      <c r="Q22" s="323"/>
      <c r="R22" s="282"/>
    </row>
    <row r="23" spans="1:18" x14ac:dyDescent="0.25">
      <c r="A23" s="282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320"/>
      <c r="P23" s="323"/>
      <c r="Q23" s="323"/>
      <c r="R23" s="282"/>
    </row>
    <row r="24" spans="1:18" x14ac:dyDescent="0.25">
      <c r="A24" s="282"/>
      <c r="B24" s="342" t="s">
        <v>577</v>
      </c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320"/>
      <c r="P24" s="322" t="s">
        <v>767</v>
      </c>
      <c r="Q24" s="323"/>
      <c r="R24" s="282"/>
    </row>
    <row r="25" spans="1:18" x14ac:dyDescent="0.25">
      <c r="A25" s="282"/>
      <c r="B25" s="343" t="s">
        <v>578</v>
      </c>
      <c r="C25" s="283">
        <f>YEAR(Паспорт_ФМ_резидент!C36)</f>
        <v>2025</v>
      </c>
      <c r="D25" s="283">
        <f>C25+1</f>
        <v>2026</v>
      </c>
      <c r="E25" s="283">
        <f t="shared" ref="E25:M25" si="0">D25+1</f>
        <v>2027</v>
      </c>
      <c r="F25" s="283">
        <f t="shared" si="0"/>
        <v>2028</v>
      </c>
      <c r="G25" s="283">
        <f t="shared" si="0"/>
        <v>2029</v>
      </c>
      <c r="H25" s="283">
        <f t="shared" si="0"/>
        <v>2030</v>
      </c>
      <c r="I25" s="283">
        <f t="shared" si="0"/>
        <v>2031</v>
      </c>
      <c r="J25" s="283">
        <f t="shared" si="0"/>
        <v>2032</v>
      </c>
      <c r="K25" s="283">
        <f t="shared" si="0"/>
        <v>2033</v>
      </c>
      <c r="L25" s="283">
        <f t="shared" si="0"/>
        <v>2034</v>
      </c>
      <c r="M25" s="283">
        <f t="shared" si="0"/>
        <v>2035</v>
      </c>
      <c r="N25" s="282"/>
      <c r="O25" s="320"/>
      <c r="P25" s="323"/>
      <c r="Q25" s="323"/>
      <c r="R25" s="282"/>
    </row>
    <row r="26" spans="1:18" x14ac:dyDescent="0.25">
      <c r="A26" s="282"/>
      <c r="B26" s="343" t="s">
        <v>80</v>
      </c>
      <c r="C26" s="284">
        <f t="shared" ref="C26:K26" si="1">SUM(C27:C29)</f>
        <v>0</v>
      </c>
      <c r="D26" s="284">
        <f t="shared" si="1"/>
        <v>0</v>
      </c>
      <c r="E26" s="284">
        <f t="shared" si="1"/>
        <v>0</v>
      </c>
      <c r="F26" s="284">
        <f t="shared" si="1"/>
        <v>0</v>
      </c>
      <c r="G26" s="284">
        <f t="shared" si="1"/>
        <v>0</v>
      </c>
      <c r="H26" s="284">
        <f t="shared" si="1"/>
        <v>0</v>
      </c>
      <c r="I26" s="284">
        <f t="shared" si="1"/>
        <v>0</v>
      </c>
      <c r="J26" s="284">
        <f t="shared" si="1"/>
        <v>0</v>
      </c>
      <c r="K26" s="284">
        <f t="shared" si="1"/>
        <v>0</v>
      </c>
      <c r="L26" s="284">
        <f>SUM(L27:L29)</f>
        <v>0</v>
      </c>
      <c r="M26" s="284">
        <f>SUM(M27:M29)</f>
        <v>0</v>
      </c>
      <c r="N26" s="282"/>
      <c r="O26" s="320"/>
      <c r="P26" s="323"/>
      <c r="Q26" s="323"/>
      <c r="R26" s="282"/>
    </row>
    <row r="27" spans="1:18" x14ac:dyDescent="0.25">
      <c r="A27" s="282"/>
      <c r="B27" s="344" t="s">
        <v>579</v>
      </c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308">
        <f>SUM(C27:L27)</f>
        <v>0</v>
      </c>
      <c r="N27" s="282"/>
      <c r="O27" s="320"/>
      <c r="P27" s="323"/>
      <c r="Q27" s="323"/>
      <c r="R27" s="282"/>
    </row>
    <row r="28" spans="1:18" x14ac:dyDescent="0.25">
      <c r="A28" s="282"/>
      <c r="B28" s="344" t="s">
        <v>580</v>
      </c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308">
        <f>SUM(C28:L28)</f>
        <v>0</v>
      </c>
      <c r="N28" s="282"/>
      <c r="O28" s="320"/>
      <c r="P28" s="323"/>
      <c r="Q28" s="323"/>
      <c r="R28" s="282"/>
    </row>
    <row r="29" spans="1:18" x14ac:dyDescent="0.25">
      <c r="A29" s="282"/>
      <c r="B29" s="344" t="s">
        <v>581</v>
      </c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308">
        <f>SUM(C29:L29)</f>
        <v>0</v>
      </c>
      <c r="N29" s="282"/>
      <c r="O29" s="320"/>
      <c r="P29" s="323"/>
      <c r="Q29" s="323"/>
      <c r="R29" s="282"/>
    </row>
    <row r="30" spans="1:18" x14ac:dyDescent="0.25">
      <c r="A30" s="282"/>
      <c r="B30" s="34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2"/>
      <c r="O30" s="320"/>
      <c r="P30" s="323"/>
      <c r="Q30" s="323"/>
      <c r="R30" s="282"/>
    </row>
    <row r="31" spans="1:18" x14ac:dyDescent="0.25">
      <c r="A31" s="282"/>
      <c r="B31" s="343" t="s">
        <v>582</v>
      </c>
      <c r="C31" s="284">
        <f ca="1">SUM(C32:C34)</f>
        <v>21.91</v>
      </c>
      <c r="D31" s="284">
        <f t="shared" ref="D31:L31" ca="1" si="2">SUM(D32:D34)</f>
        <v>81.06</v>
      </c>
      <c r="E31" s="284">
        <f t="shared" ca="1" si="2"/>
        <v>-14.28</v>
      </c>
      <c r="F31" s="284">
        <f t="shared" ca="1" si="2"/>
        <v>50.98</v>
      </c>
      <c r="G31" s="284">
        <f t="shared" ca="1" si="2"/>
        <v>55.28</v>
      </c>
      <c r="H31" s="284">
        <f t="shared" ca="1" si="2"/>
        <v>59.64</v>
      </c>
      <c r="I31" s="284">
        <f t="shared" ca="1" si="2"/>
        <v>64.25</v>
      </c>
      <c r="J31" s="284">
        <f t="shared" ca="1" si="2"/>
        <v>69.08</v>
      </c>
      <c r="K31" s="284">
        <f t="shared" ca="1" si="2"/>
        <v>70.47</v>
      </c>
      <c r="L31" s="284">
        <f t="shared" ca="1" si="2"/>
        <v>75.349999999999994</v>
      </c>
      <c r="M31" s="309">
        <f ca="1">SUM(C31:L31)</f>
        <v>533.74</v>
      </c>
      <c r="N31" s="282"/>
      <c r="O31" s="320"/>
      <c r="P31" s="323"/>
      <c r="Q31" s="323"/>
      <c r="R31" s="282"/>
    </row>
    <row r="32" spans="1:18" x14ac:dyDescent="0.25">
      <c r="A32" s="282"/>
      <c r="B32" s="344" t="s">
        <v>583</v>
      </c>
      <c r="C32" s="286">
        <f>ROUND(Финансы!F7/1000,2)</f>
        <v>30</v>
      </c>
      <c r="D32" s="286">
        <f>ROUND(Финансы!G7/1000,2)</f>
        <v>0</v>
      </c>
      <c r="E32" s="286">
        <f>ROUND(Финансы!H7/1000,2)</f>
        <v>0</v>
      </c>
      <c r="F32" s="286">
        <f>ROUND(Финансы!I7/1000,2)</f>
        <v>0</v>
      </c>
      <c r="G32" s="286">
        <f>ROUND(Финансы!J7/1000,2)</f>
        <v>0</v>
      </c>
      <c r="H32" s="286">
        <f>ROUND(Финансы!K7/1000,2)</f>
        <v>0</v>
      </c>
      <c r="I32" s="286">
        <f>ROUND(Финансы!L7/1000,2)</f>
        <v>0</v>
      </c>
      <c r="J32" s="286">
        <f>ROUND(Финансы!M7/1000,2)</f>
        <v>0</v>
      </c>
      <c r="K32" s="286">
        <f>ROUND(Финансы!N7/1000,2)</f>
        <v>0</v>
      </c>
      <c r="L32" s="286">
        <f>ROUND(Финансы!O7/1000,2)</f>
        <v>0</v>
      </c>
      <c r="M32" s="308">
        <f>SUM(C32:L32)</f>
        <v>30</v>
      </c>
      <c r="N32" s="282"/>
      <c r="O32" s="320"/>
      <c r="P32" s="324" t="str" cm="1">
        <f t="array" aca="1" ref="P32" ca="1">HYPERLINK(CELL("адрес",Финансы!B7),"перейти")</f>
        <v>перейти</v>
      </c>
      <c r="Q32" s="323"/>
      <c r="R32" s="282"/>
    </row>
    <row r="33" spans="2:16" x14ac:dyDescent="0.25">
      <c r="B33" s="344" t="s">
        <v>584</v>
      </c>
      <c r="C33" s="286">
        <f ca="1">ROUND(Финансы!F22/1000,2)</f>
        <v>0</v>
      </c>
      <c r="D33" s="286">
        <f ca="1">ROUND(Финансы!G22/1000,2)</f>
        <v>95</v>
      </c>
      <c r="E33" s="286">
        <f ca="1">ROUND(Финансы!H22/1000,2)</f>
        <v>0</v>
      </c>
      <c r="F33" s="286">
        <f ca="1">ROUND(Финансы!I22/1000,2)</f>
        <v>0</v>
      </c>
      <c r="G33" s="286">
        <f ca="1">ROUND(Финансы!J22/1000,2)</f>
        <v>0</v>
      </c>
      <c r="H33" s="286">
        <f ca="1">ROUND(Финансы!K22/1000,2)</f>
        <v>0</v>
      </c>
      <c r="I33" s="286">
        <f ca="1">ROUND(Финансы!L22/1000,2)</f>
        <v>0</v>
      </c>
      <c r="J33" s="286">
        <f ca="1">ROUND(Финансы!M22/1000,2)</f>
        <v>0</v>
      </c>
      <c r="K33" s="286">
        <f ca="1">ROUND(Финансы!N22/1000,2)</f>
        <v>0</v>
      </c>
      <c r="L33" s="286">
        <f ca="1">ROUND(Финансы!O22/1000,2)</f>
        <v>0</v>
      </c>
      <c r="M33" s="308">
        <f ca="1">SUM(C33:L33)</f>
        <v>95</v>
      </c>
      <c r="N33" s="282"/>
      <c r="O33" s="320"/>
      <c r="P33" s="324" t="str" cm="1">
        <f t="array" aca="1" ref="P33" ca="1">HYPERLINK(CELL("адрес",Финансы!B22),"перейти")</f>
        <v>перейти</v>
      </c>
    </row>
    <row r="34" spans="2:16" ht="25.5" x14ac:dyDescent="0.25">
      <c r="B34" s="344" t="s">
        <v>585</v>
      </c>
      <c r="C34" s="286">
        <f ca="1">ROUND(БДДС!F27/1000,2)</f>
        <v>-8.09</v>
      </c>
      <c r="D34" s="286">
        <f ca="1">ROUND(БДДС!G27/1000,2)</f>
        <v>-13.94</v>
      </c>
      <c r="E34" s="286">
        <f ca="1">ROUND(БДДС!H27/1000,2)</f>
        <v>-14.28</v>
      </c>
      <c r="F34" s="286">
        <f ca="1">ROUND(БДДС!I27/1000,2)</f>
        <v>50.98</v>
      </c>
      <c r="G34" s="286">
        <f ca="1">ROUND(БДДС!J27/1000,2)</f>
        <v>55.28</v>
      </c>
      <c r="H34" s="286">
        <f ca="1">ROUND(БДДС!K27/1000,2)</f>
        <v>59.64</v>
      </c>
      <c r="I34" s="286">
        <f ca="1">ROUND(БДДС!L27/1000,2)</f>
        <v>64.25</v>
      </c>
      <c r="J34" s="286">
        <f ca="1">ROUND(БДДС!M27/1000,2)</f>
        <v>69.08</v>
      </c>
      <c r="K34" s="286">
        <f ca="1">ROUND(БДДС!N27/1000,2)</f>
        <v>70.47</v>
      </c>
      <c r="L34" s="286">
        <f ca="1">ROUND(БДДС!O27/1000,2)</f>
        <v>75.349999999999994</v>
      </c>
      <c r="M34" s="308">
        <f ca="1">SUM(C34:L34)</f>
        <v>408.74</v>
      </c>
      <c r="N34" s="282"/>
      <c r="O34" s="320"/>
      <c r="P34" s="324" t="str" cm="1">
        <f t="array" aca="1" ref="P34" ca="1">HYPERLINK(CELL("адрес",БДДС!B27),"перейти")</f>
        <v>перейти</v>
      </c>
    </row>
    <row r="35" spans="2:16" x14ac:dyDescent="0.25">
      <c r="B35" s="344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308"/>
      <c r="N35" s="282"/>
      <c r="O35" s="320"/>
      <c r="P35" s="323"/>
    </row>
    <row r="36" spans="2:16" x14ac:dyDescent="0.25">
      <c r="B36" s="343" t="s">
        <v>586</v>
      </c>
      <c r="C36" s="284">
        <f ca="1">C26+C31</f>
        <v>21.91</v>
      </c>
      <c r="D36" s="284">
        <f t="shared" ref="D36:L36" ca="1" si="3">D26+D31</f>
        <v>81.06</v>
      </c>
      <c r="E36" s="284">
        <f t="shared" ca="1" si="3"/>
        <v>-14.28</v>
      </c>
      <c r="F36" s="284">
        <f t="shared" ca="1" si="3"/>
        <v>50.98</v>
      </c>
      <c r="G36" s="284">
        <f t="shared" ca="1" si="3"/>
        <v>55.28</v>
      </c>
      <c r="H36" s="284">
        <f t="shared" ca="1" si="3"/>
        <v>59.64</v>
      </c>
      <c r="I36" s="284">
        <f t="shared" ca="1" si="3"/>
        <v>64.25</v>
      </c>
      <c r="J36" s="284">
        <f t="shared" ca="1" si="3"/>
        <v>69.08</v>
      </c>
      <c r="K36" s="284">
        <f t="shared" ca="1" si="3"/>
        <v>70.47</v>
      </c>
      <c r="L36" s="284">
        <f t="shared" ca="1" si="3"/>
        <v>75.349999999999994</v>
      </c>
      <c r="M36" s="309">
        <f ca="1">SUM(C36:L36)</f>
        <v>533.74</v>
      </c>
      <c r="N36" s="282"/>
      <c r="O36" s="320"/>
      <c r="P36" s="323"/>
    </row>
    <row r="37" spans="2:16" x14ac:dyDescent="0.25"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320"/>
      <c r="P37" s="323"/>
    </row>
    <row r="38" spans="2:16" x14ac:dyDescent="0.25"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320"/>
      <c r="P38" s="323"/>
    </row>
    <row r="39" spans="2:16" x14ac:dyDescent="0.25">
      <c r="B39" s="342" t="s">
        <v>516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320"/>
      <c r="P39" s="323"/>
    </row>
    <row r="40" spans="2:16" x14ac:dyDescent="0.25">
      <c r="B40" s="345"/>
      <c r="C40" s="283">
        <v>2025</v>
      </c>
      <c r="D40" s="283">
        <v>2026</v>
      </c>
      <c r="E40" s="283">
        <v>2027</v>
      </c>
      <c r="F40" s="283">
        <v>2028</v>
      </c>
      <c r="G40" s="283">
        <v>2029</v>
      </c>
      <c r="H40" s="283">
        <v>2030</v>
      </c>
      <c r="I40" s="283">
        <v>2031</v>
      </c>
      <c r="J40" s="283">
        <v>2032</v>
      </c>
      <c r="K40" s="283">
        <v>2033</v>
      </c>
      <c r="L40" s="283">
        <v>2034</v>
      </c>
      <c r="M40" s="310" t="s">
        <v>464</v>
      </c>
      <c r="N40" s="282"/>
      <c r="O40" s="320"/>
      <c r="P40" s="323"/>
    </row>
    <row r="41" spans="2:16" x14ac:dyDescent="0.25">
      <c r="B41" s="346" t="s">
        <v>517</v>
      </c>
      <c r="C41" s="287"/>
      <c r="D41" s="287"/>
      <c r="E41" s="287"/>
      <c r="F41" s="287"/>
      <c r="G41" s="287"/>
      <c r="H41" s="287"/>
      <c r="I41" s="282"/>
      <c r="J41" s="282"/>
      <c r="K41" s="282"/>
      <c r="L41" s="282"/>
      <c r="M41" s="287"/>
      <c r="N41" s="282"/>
      <c r="O41" s="320"/>
      <c r="P41" s="323"/>
    </row>
    <row r="42" spans="2:16" x14ac:dyDescent="0.25">
      <c r="B42" s="347" t="s">
        <v>518</v>
      </c>
      <c r="C42" s="288">
        <f>ROUND(Инвестиции!F7/1000,0)</f>
        <v>22</v>
      </c>
      <c r="D42" s="288">
        <f>ROUND(Инвестиции!G7/1000,0)</f>
        <v>68</v>
      </c>
      <c r="E42" s="288">
        <f>ROUND(Инвестиции!H7/1000,0)</f>
        <v>0</v>
      </c>
      <c r="F42" s="288">
        <f>ROUND(Инвестиции!I7/1000,0)</f>
        <v>0</v>
      </c>
      <c r="G42" s="288">
        <f>ROUND(Инвестиции!J7/1000,0)</f>
        <v>0</v>
      </c>
      <c r="H42" s="288">
        <f>ROUND(Инвестиции!K7/1000,0)</f>
        <v>0</v>
      </c>
      <c r="I42" s="288">
        <f>ROUND(Инвестиции!L7/1000,0)</f>
        <v>0</v>
      </c>
      <c r="J42" s="288">
        <f>ROUND(Инвестиции!M7/1000,0)</f>
        <v>0</v>
      </c>
      <c r="K42" s="288">
        <f>ROUND(Инвестиции!N7/1000,0)</f>
        <v>0</v>
      </c>
      <c r="L42" s="288">
        <f>ROUND(Инвестиции!O7/1000,0)</f>
        <v>0</v>
      </c>
      <c r="M42" s="289">
        <f>SUM(C42:L42)</f>
        <v>90</v>
      </c>
      <c r="N42" s="282"/>
      <c r="O42" s="320"/>
      <c r="P42" s="324" t="str" cm="1">
        <f t="array" aca="1" ref="P42" ca="1">HYPERLINK(CELL("адрес",Инвестиции!B7),"перейти")</f>
        <v>перейти</v>
      </c>
    </row>
    <row r="43" spans="2:16" x14ac:dyDescent="0.25">
      <c r="B43" s="347" t="s">
        <v>519</v>
      </c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9">
        <f>SUM(C43:L43)</f>
        <v>0</v>
      </c>
      <c r="N43" s="282"/>
      <c r="O43" s="320"/>
      <c r="P43" s="324"/>
    </row>
    <row r="44" spans="2:16" x14ac:dyDescent="0.25">
      <c r="B44" s="346" t="s">
        <v>464</v>
      </c>
      <c r="C44" s="289">
        <f t="shared" ref="C44:L44" si="4">C42+C43</f>
        <v>22</v>
      </c>
      <c r="D44" s="289">
        <f t="shared" si="4"/>
        <v>68</v>
      </c>
      <c r="E44" s="289">
        <f t="shared" si="4"/>
        <v>0</v>
      </c>
      <c r="F44" s="289">
        <f t="shared" si="4"/>
        <v>0</v>
      </c>
      <c r="G44" s="289">
        <f t="shared" si="4"/>
        <v>0</v>
      </c>
      <c r="H44" s="289">
        <f t="shared" si="4"/>
        <v>0</v>
      </c>
      <c r="I44" s="289">
        <f t="shared" si="4"/>
        <v>0</v>
      </c>
      <c r="J44" s="289">
        <f t="shared" si="4"/>
        <v>0</v>
      </c>
      <c r="K44" s="289">
        <f t="shared" si="4"/>
        <v>0</v>
      </c>
      <c r="L44" s="289">
        <f t="shared" si="4"/>
        <v>0</v>
      </c>
      <c r="M44" s="289">
        <f>SUM(C44:L44)</f>
        <v>90</v>
      </c>
      <c r="N44" s="282"/>
      <c r="O44" s="320"/>
      <c r="P44" s="323"/>
    </row>
    <row r="45" spans="2:16" x14ac:dyDescent="0.25">
      <c r="B45" s="347" t="s">
        <v>520</v>
      </c>
      <c r="C45" s="288">
        <f>ROUND(Инвестиции!F8/1000,0)</f>
        <v>4</v>
      </c>
      <c r="D45" s="288">
        <f>ROUND(Инвестиции!G8/1000,0)</f>
        <v>11</v>
      </c>
      <c r="E45" s="288">
        <f>ROUND(Инвестиции!H8/1000,0)</f>
        <v>0</v>
      </c>
      <c r="F45" s="288">
        <f>ROUND(Инвестиции!I8/1000,0)</f>
        <v>0</v>
      </c>
      <c r="G45" s="288">
        <f>ROUND(Инвестиции!J8/1000,0)</f>
        <v>0</v>
      </c>
      <c r="H45" s="288">
        <f>ROUND(Инвестиции!K8/1000,0)</f>
        <v>0</v>
      </c>
      <c r="I45" s="288">
        <f>ROUND(Инвестиции!L8/1000,0)</f>
        <v>0</v>
      </c>
      <c r="J45" s="288">
        <f>ROUND(Инвестиции!M8/1000,0)</f>
        <v>0</v>
      </c>
      <c r="K45" s="288">
        <f>ROUND(Инвестиции!N8/1000,0)</f>
        <v>0</v>
      </c>
      <c r="L45" s="288">
        <f>ROUND(Инвестиции!O8/1000,0)</f>
        <v>0</v>
      </c>
      <c r="M45" s="289">
        <f>SUM(C45:L45)</f>
        <v>15</v>
      </c>
      <c r="N45" s="282"/>
      <c r="O45" s="320"/>
      <c r="P45" s="324" t="str" cm="1">
        <f t="array" aca="1" ref="P45" ca="1">HYPERLINK(CELL("адрес",Инвестиции!B8),"перейти")</f>
        <v>перейти</v>
      </c>
    </row>
    <row r="46" spans="2:16" x14ac:dyDescent="0.25">
      <c r="B46" s="346" t="s">
        <v>521</v>
      </c>
      <c r="C46" s="289">
        <f t="shared" ref="C46:L46" si="5">C44-C45</f>
        <v>18</v>
      </c>
      <c r="D46" s="289">
        <f t="shared" si="5"/>
        <v>57</v>
      </c>
      <c r="E46" s="289">
        <f t="shared" si="5"/>
        <v>0</v>
      </c>
      <c r="F46" s="289">
        <f t="shared" si="5"/>
        <v>0</v>
      </c>
      <c r="G46" s="289">
        <f t="shared" si="5"/>
        <v>0</v>
      </c>
      <c r="H46" s="289">
        <f t="shared" si="5"/>
        <v>0</v>
      </c>
      <c r="I46" s="289">
        <f t="shared" si="5"/>
        <v>0</v>
      </c>
      <c r="J46" s="289">
        <f t="shared" si="5"/>
        <v>0</v>
      </c>
      <c r="K46" s="289">
        <f t="shared" si="5"/>
        <v>0</v>
      </c>
      <c r="L46" s="289">
        <f t="shared" si="5"/>
        <v>0</v>
      </c>
      <c r="M46" s="289">
        <f>M44-M45</f>
        <v>75</v>
      </c>
      <c r="N46" s="282"/>
      <c r="O46" s="320"/>
      <c r="P46" s="323"/>
    </row>
    <row r="47" spans="2:16" x14ac:dyDescent="0.25"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320"/>
      <c r="P47" s="323"/>
    </row>
    <row r="48" spans="2:16" x14ac:dyDescent="0.25">
      <c r="B48" s="342" t="s">
        <v>522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320"/>
      <c r="P48" s="323"/>
    </row>
    <row r="49" spans="1:16" x14ac:dyDescent="0.25">
      <c r="A49" s="328" t="s">
        <v>2</v>
      </c>
      <c r="B49" s="348" t="s">
        <v>523</v>
      </c>
      <c r="C49" s="290">
        <v>2025</v>
      </c>
      <c r="D49" s="290">
        <v>2026</v>
      </c>
      <c r="E49" s="290">
        <v>2027</v>
      </c>
      <c r="F49" s="290">
        <v>2028</v>
      </c>
      <c r="G49" s="290">
        <v>2029</v>
      </c>
      <c r="H49" s="290">
        <v>2030</v>
      </c>
      <c r="I49" s="290">
        <v>2031</v>
      </c>
      <c r="J49" s="290">
        <v>2032</v>
      </c>
      <c r="K49" s="290">
        <v>2033</v>
      </c>
      <c r="L49" s="290">
        <v>2034</v>
      </c>
      <c r="M49" s="311" t="s">
        <v>524</v>
      </c>
      <c r="N49" s="282"/>
      <c r="O49" s="320"/>
      <c r="P49" s="323"/>
    </row>
    <row r="50" spans="1:16" x14ac:dyDescent="0.25">
      <c r="A50" s="329">
        <v>1</v>
      </c>
      <c r="B50" s="349" t="s">
        <v>205</v>
      </c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312">
        <f>SUM(C50:L50)</f>
        <v>0</v>
      </c>
      <c r="N50" s="282"/>
      <c r="O50" s="320"/>
      <c r="P50" s="323"/>
    </row>
    <row r="51" spans="1:16" x14ac:dyDescent="0.25">
      <c r="A51" s="329">
        <v>2</v>
      </c>
      <c r="B51" s="349" t="s">
        <v>206</v>
      </c>
      <c r="C51" s="291">
        <f>ROUND(Инвестиции!F7/1000,0)</f>
        <v>22</v>
      </c>
      <c r="D51" s="291">
        <f>ROUND(Инвестиции!G7/1000,0)</f>
        <v>68</v>
      </c>
      <c r="E51" s="291">
        <f>ROUND(Инвестиции!H7/1000,0)</f>
        <v>0</v>
      </c>
      <c r="F51" s="291">
        <f>ROUND(Инвестиции!I7/1000,0)</f>
        <v>0</v>
      </c>
      <c r="G51" s="291">
        <f>ROUND(Инвестиции!J7/1000,0)</f>
        <v>0</v>
      </c>
      <c r="H51" s="291">
        <f>ROUND(Инвестиции!K7/1000,0)</f>
        <v>0</v>
      </c>
      <c r="I51" s="291">
        <f>ROUND(Инвестиции!L7/1000,0)</f>
        <v>0</v>
      </c>
      <c r="J51" s="291">
        <f>ROUND(Инвестиции!M7/1000,0)</f>
        <v>0</v>
      </c>
      <c r="K51" s="291">
        <f>ROUND(Инвестиции!N7/1000,0)</f>
        <v>0</v>
      </c>
      <c r="L51" s="291">
        <f>ROUND(Инвестиции!O7/1000,0)</f>
        <v>0</v>
      </c>
      <c r="M51" s="312">
        <f>SUM(C51:L51)</f>
        <v>90</v>
      </c>
      <c r="N51" s="282"/>
      <c r="O51" s="320"/>
      <c r="P51" s="324" t="str" cm="1">
        <f t="array" aca="1" ref="P51" ca="1">HYPERLINK(CELL("адрес",Инвестиции!B7),"перейти")</f>
        <v>перейти</v>
      </c>
    </row>
    <row r="52" spans="1:16" x14ac:dyDescent="0.25">
      <c r="A52" s="329">
        <v>3</v>
      </c>
      <c r="B52" s="349" t="s">
        <v>525</v>
      </c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312">
        <f>SUM(C52:L52)</f>
        <v>0</v>
      </c>
      <c r="N52" s="282"/>
      <c r="O52" s="320"/>
      <c r="P52" s="323"/>
    </row>
    <row r="53" spans="1:16" x14ac:dyDescent="0.25">
      <c r="A53" s="330"/>
      <c r="B53" s="350" t="s">
        <v>526</v>
      </c>
      <c r="C53" s="292">
        <f>SUM(C50:C52)</f>
        <v>22</v>
      </c>
      <c r="D53" s="292">
        <f t="shared" ref="D53:L53" si="6">SUM(D50:D52)</f>
        <v>68</v>
      </c>
      <c r="E53" s="292">
        <f t="shared" si="6"/>
        <v>0</v>
      </c>
      <c r="F53" s="292">
        <f t="shared" si="6"/>
        <v>0</v>
      </c>
      <c r="G53" s="292">
        <f t="shared" si="6"/>
        <v>0</v>
      </c>
      <c r="H53" s="292">
        <f t="shared" si="6"/>
        <v>0</v>
      </c>
      <c r="I53" s="292">
        <f t="shared" si="6"/>
        <v>0</v>
      </c>
      <c r="J53" s="292">
        <f t="shared" si="6"/>
        <v>0</v>
      </c>
      <c r="K53" s="292">
        <f t="shared" si="6"/>
        <v>0</v>
      </c>
      <c r="L53" s="292">
        <f t="shared" si="6"/>
        <v>0</v>
      </c>
      <c r="M53" s="312">
        <f>SUM(C53:L53)</f>
        <v>90</v>
      </c>
      <c r="N53" s="295"/>
      <c r="O53" s="321"/>
      <c r="P53" s="323"/>
    </row>
    <row r="54" spans="1:16" x14ac:dyDescent="0.25">
      <c r="A54" s="282"/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320"/>
      <c r="P54" s="323"/>
    </row>
    <row r="55" spans="1:16" x14ac:dyDescent="0.25">
      <c r="A55" s="282"/>
      <c r="B55" s="342" t="s">
        <v>527</v>
      </c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320"/>
      <c r="P55" s="323"/>
    </row>
    <row r="56" spans="1:16" x14ac:dyDescent="0.25">
      <c r="A56" s="331" t="s">
        <v>2</v>
      </c>
      <c r="B56" s="351" t="s">
        <v>523</v>
      </c>
      <c r="C56" s="283">
        <v>2025</v>
      </c>
      <c r="D56" s="283">
        <v>2026</v>
      </c>
      <c r="E56" s="283">
        <v>2027</v>
      </c>
      <c r="F56" s="283">
        <v>2028</v>
      </c>
      <c r="G56" s="283">
        <v>2029</v>
      </c>
      <c r="H56" s="283">
        <v>2030</v>
      </c>
      <c r="I56" s="283">
        <v>2031</v>
      </c>
      <c r="J56" s="283">
        <v>2032</v>
      </c>
      <c r="K56" s="283">
        <v>2033</v>
      </c>
      <c r="L56" s="283">
        <v>2034</v>
      </c>
      <c r="M56" s="313" t="s">
        <v>528</v>
      </c>
      <c r="N56" s="282"/>
      <c r="O56" s="320"/>
      <c r="P56" s="323"/>
    </row>
    <row r="57" spans="1:16" x14ac:dyDescent="0.25">
      <c r="A57" s="332">
        <v>1</v>
      </c>
      <c r="B57" s="352" t="s">
        <v>590</v>
      </c>
      <c r="C57" s="293" t="s">
        <v>509</v>
      </c>
      <c r="D57" s="293" t="s">
        <v>509</v>
      </c>
      <c r="E57" s="293" t="s">
        <v>509</v>
      </c>
      <c r="F57" s="293" t="s">
        <v>509</v>
      </c>
      <c r="G57" s="293" t="s">
        <v>509</v>
      </c>
      <c r="H57" s="293" t="s">
        <v>509</v>
      </c>
      <c r="I57" s="293" t="s">
        <v>509</v>
      </c>
      <c r="J57" s="293" t="s">
        <v>509</v>
      </c>
      <c r="K57" s="293" t="s">
        <v>509</v>
      </c>
      <c r="L57" s="293" t="s">
        <v>509</v>
      </c>
      <c r="M57" s="314"/>
      <c r="N57" s="282"/>
      <c r="O57" s="320"/>
      <c r="P57" s="323"/>
    </row>
    <row r="58" spans="1:16" x14ac:dyDescent="0.25">
      <c r="A58" s="332">
        <v>2</v>
      </c>
      <c r="B58" s="352" t="s">
        <v>529</v>
      </c>
      <c r="C58" s="293" t="s">
        <v>509</v>
      </c>
      <c r="D58" s="293" t="s">
        <v>509</v>
      </c>
      <c r="E58" s="293" t="s">
        <v>509</v>
      </c>
      <c r="F58" s="293" t="s">
        <v>509</v>
      </c>
      <c r="G58" s="293" t="s">
        <v>509</v>
      </c>
      <c r="H58" s="293" t="s">
        <v>509</v>
      </c>
      <c r="I58" s="293" t="s">
        <v>509</v>
      </c>
      <c r="J58" s="293" t="s">
        <v>509</v>
      </c>
      <c r="K58" s="293" t="s">
        <v>509</v>
      </c>
      <c r="L58" s="293" t="s">
        <v>509</v>
      </c>
      <c r="M58" s="315"/>
      <c r="N58" s="282"/>
      <c r="O58" s="320"/>
      <c r="P58" s="323"/>
    </row>
    <row r="59" spans="1:16" x14ac:dyDescent="0.25">
      <c r="A59" s="282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320"/>
      <c r="P59" s="323"/>
    </row>
    <row r="60" spans="1:16" x14ac:dyDescent="0.25">
      <c r="A60" s="282"/>
      <c r="B60" s="342" t="s">
        <v>530</v>
      </c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320"/>
      <c r="P60" s="323"/>
    </row>
    <row r="61" spans="1:16" x14ac:dyDescent="0.25">
      <c r="A61" s="326" t="s">
        <v>2</v>
      </c>
      <c r="B61" s="351" t="s">
        <v>523</v>
      </c>
      <c r="C61" s="283">
        <v>2025</v>
      </c>
      <c r="D61" s="283">
        <v>2026</v>
      </c>
      <c r="E61" s="283">
        <v>2027</v>
      </c>
      <c r="F61" s="283">
        <v>2028</v>
      </c>
      <c r="G61" s="283">
        <v>2029</v>
      </c>
      <c r="H61" s="283">
        <v>2030</v>
      </c>
      <c r="I61" s="283">
        <v>2031</v>
      </c>
      <c r="J61" s="283">
        <v>2032</v>
      </c>
      <c r="K61" s="283">
        <v>2033</v>
      </c>
      <c r="L61" s="283">
        <v>2034</v>
      </c>
      <c r="M61" s="316" t="s">
        <v>528</v>
      </c>
      <c r="N61" s="282"/>
      <c r="O61" s="320"/>
      <c r="P61" s="323"/>
    </row>
    <row r="62" spans="1:16" x14ac:dyDescent="0.25">
      <c r="A62" s="333">
        <v>1</v>
      </c>
      <c r="B62" s="352" t="s">
        <v>531</v>
      </c>
      <c r="C62" s="293">
        <f>ROUND(Выручка!F8/1000,0)</f>
        <v>0</v>
      </c>
      <c r="D62" s="293">
        <f>ROUND(Выручка!G8/1000,0)</f>
        <v>0</v>
      </c>
      <c r="E62" s="293">
        <f>ROUND(Выручка!H8/1000,0)</f>
        <v>39</v>
      </c>
      <c r="F62" s="293">
        <f>ROUND(Выручка!I8/1000,0)</f>
        <v>113</v>
      </c>
      <c r="G62" s="293">
        <f>ROUND(Выручка!J8/1000,0)</f>
        <v>117</v>
      </c>
      <c r="H62" s="293">
        <f>ROUND(Выручка!K8/1000,0)</f>
        <v>122</v>
      </c>
      <c r="I62" s="293">
        <f>ROUND(Выручка!L8/1000,0)</f>
        <v>127</v>
      </c>
      <c r="J62" s="293">
        <f>ROUND(Выручка!M8/1000,0)</f>
        <v>132</v>
      </c>
      <c r="K62" s="293">
        <f>ROUND(Выручка!N8/1000,0)</f>
        <v>137</v>
      </c>
      <c r="L62" s="293">
        <f>ROUND(Выручка!O8/1000,0)</f>
        <v>143</v>
      </c>
      <c r="M62" s="317">
        <f>SUM(C62:L62)</f>
        <v>930</v>
      </c>
      <c r="N62" s="282"/>
      <c r="O62" s="320"/>
      <c r="P62" s="324" t="str" cm="1">
        <f t="array" aca="1" ref="P62" ca="1">HYPERLINK(CELL("адрес",Выручка!B8),"перейти")</f>
        <v>перейти</v>
      </c>
    </row>
    <row r="63" spans="1:16" x14ac:dyDescent="0.25">
      <c r="A63" s="282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320"/>
      <c r="P63" s="323"/>
    </row>
    <row r="64" spans="1:16" x14ac:dyDescent="0.25">
      <c r="A64" s="282"/>
      <c r="B64" s="282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320"/>
      <c r="P64" s="323"/>
    </row>
    <row r="65" spans="1:17" x14ac:dyDescent="0.25">
      <c r="A65" s="282"/>
      <c r="B65" s="340" t="str">
        <f>CONCATENATE("Прогноз показателей бюджетной эффективности проекта, ", C61, "-",L61," годы")</f>
        <v>Прогноз показателей бюджетной эффективности проекта, 2025-2034 годы</v>
      </c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320"/>
      <c r="P65" s="323"/>
      <c r="Q65" s="323"/>
    </row>
    <row r="66" spans="1:17" ht="51" x14ac:dyDescent="0.25">
      <c r="A66" s="326" t="s">
        <v>2</v>
      </c>
      <c r="B66" s="341" t="s">
        <v>532</v>
      </c>
      <c r="C66" s="305" t="s">
        <v>538</v>
      </c>
      <c r="D66" s="305" t="s">
        <v>539</v>
      </c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320"/>
      <c r="P66" s="325" t="s">
        <v>538</v>
      </c>
      <c r="Q66" s="325" t="s">
        <v>539</v>
      </c>
    </row>
    <row r="67" spans="1:17" x14ac:dyDescent="0.25">
      <c r="A67" s="327">
        <v>1</v>
      </c>
      <c r="B67" s="287" t="s">
        <v>540</v>
      </c>
      <c r="C67" s="288">
        <f>ROUND(НалогСвод!$D$6/1000,2)</f>
        <v>151.34</v>
      </c>
      <c r="D67" s="375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320"/>
      <c r="P67" s="324" t="str" cm="1">
        <f t="array" aca="1" ref="P67" ca="1">HYPERLINK(CELL("адрес",НалогСвод!D6),"перейти")</f>
        <v>перейти</v>
      </c>
      <c r="Q67" s="323"/>
    </row>
    <row r="68" spans="1:17" x14ac:dyDescent="0.25">
      <c r="A68" s="327">
        <v>2</v>
      </c>
      <c r="B68" s="287" t="s">
        <v>541</v>
      </c>
      <c r="C68" s="288">
        <f>ROUND((НалогСвод!$D$10+НалогСвод!$D$11)/1000,2)</f>
        <v>34.1</v>
      </c>
      <c r="D68" s="375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320"/>
      <c r="P68" s="324" t="str" cm="1">
        <f t="array" aca="1" ref="P68" ca="1">HYPERLINK(CELL("адрес",НалогСвод!D10),"перейти")</f>
        <v>перейти</v>
      </c>
      <c r="Q68" s="323"/>
    </row>
    <row r="69" spans="1:17" x14ac:dyDescent="0.25">
      <c r="A69" s="327">
        <v>3</v>
      </c>
      <c r="B69" s="287" t="s">
        <v>542</v>
      </c>
      <c r="C69" s="288">
        <f ca="1">ROUND((НалогСвод!$D$7+НалогСвод!$D$8)/1000,2)</f>
        <v>14.75</v>
      </c>
      <c r="D69" s="288">
        <f ca="1">ROUND((НалогСвод!$D$23+НалогСвод!$D$24)/1000,2)</f>
        <v>47.69</v>
      </c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320"/>
      <c r="P69" s="324" t="str" cm="1">
        <f t="array" aca="1" ref="P69" ca="1">HYPERLINK(CELL("адрес",НалогСвод!D8),"перейти")</f>
        <v>перейти</v>
      </c>
      <c r="Q69" s="324" t="str" cm="1">
        <f t="array" aca="1" ref="Q69" ca="1">HYPERLINK(CELL("адрес",НалогСвод!D24),"перейти")</f>
        <v>перейти</v>
      </c>
    </row>
    <row r="70" spans="1:17" x14ac:dyDescent="0.25">
      <c r="A70" s="327">
        <v>4</v>
      </c>
      <c r="B70" s="287" t="s">
        <v>543</v>
      </c>
      <c r="C70" s="288">
        <f>ROUND(НалогСвод!$D$9/1000,2)</f>
        <v>0</v>
      </c>
      <c r="D70" s="288">
        <f>ROUND(НалогСвод!$D$25/1000,2)</f>
        <v>7.68</v>
      </c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320"/>
      <c r="P70" s="324" t="str" cm="1">
        <f t="array" aca="1" ref="P70" ca="1">HYPERLINK(CELL("адрес",НалогСвод!B9),"перейти")</f>
        <v>перейти</v>
      </c>
      <c r="Q70" s="324" t="str" cm="1">
        <f t="array" aca="1" ref="Q70" ca="1">HYPERLINK(CELL("адрес",НалогСвод!B25),"перейти")</f>
        <v>перейти</v>
      </c>
    </row>
    <row r="71" spans="1:17" x14ac:dyDescent="0.25">
      <c r="A71" s="841">
        <v>5</v>
      </c>
      <c r="B71" s="353" t="s">
        <v>544</v>
      </c>
      <c r="C71" s="289">
        <f ca="1">SUM(C72:C74)</f>
        <v>200.19</v>
      </c>
      <c r="D71" s="289">
        <f ca="1">SUM(D72:D74)</f>
        <v>55.38</v>
      </c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320"/>
      <c r="P71" s="323"/>
      <c r="Q71" s="323"/>
    </row>
    <row r="72" spans="1:17" x14ac:dyDescent="0.25">
      <c r="A72" s="842"/>
      <c r="B72" s="287" t="s">
        <v>545</v>
      </c>
      <c r="C72" s="288">
        <f ca="1">ROUND(НалогСвод!D16/1000,2)</f>
        <v>158.63999999999999</v>
      </c>
      <c r="D72" s="375">
        <f ca="1">ROUND(НалогСвод!D29/1000,2)</f>
        <v>2.0699999999999998</v>
      </c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320"/>
      <c r="P72" s="324" t="str" cm="1">
        <f t="array" aca="1" ref="P72" ca="1">HYPERLINK(CELL("адрес",НалогСвод!D16),"перейти")</f>
        <v>перейти</v>
      </c>
      <c r="Q72" s="324" t="str" cm="1">
        <f t="array" aca="1" ref="Q72" ca="1">HYPERLINK(CELL("адрес",НалогСвод!D29),"перейти")</f>
        <v>перейти</v>
      </c>
    </row>
    <row r="73" spans="1:17" x14ac:dyDescent="0.25">
      <c r="A73" s="842"/>
      <c r="B73" s="287" t="s">
        <v>546</v>
      </c>
      <c r="C73" s="288">
        <f ca="1">ROUND(НалогСвод!D17/1000,2)</f>
        <v>36.299999999999997</v>
      </c>
      <c r="D73" s="375">
        <f ca="1">ROUND(НалогСвод!D30/1000,2)</f>
        <v>53.31</v>
      </c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320"/>
      <c r="P73" s="324" t="str" cm="1">
        <f t="array" aca="1" ref="P73" ca="1">HYPERLINK(CELL("адрес",НалогСвод!D17),"перейти")</f>
        <v>перейти</v>
      </c>
      <c r="Q73" s="324" t="str" cm="1">
        <f t="array" aca="1" ref="Q73" ca="1">HYPERLINK(CELL("адрес",НалогСвод!D30),"перейти")</f>
        <v>перейти</v>
      </c>
    </row>
    <row r="74" spans="1:17" x14ac:dyDescent="0.25">
      <c r="A74" s="843"/>
      <c r="B74" s="287" t="s">
        <v>547</v>
      </c>
      <c r="C74" s="288">
        <f>ROUND(НалогСвод!D18/1000,2)</f>
        <v>5.25</v>
      </c>
      <c r="D74" s="375">
        <f>ROUND(НалогСвод!D31/1000,2)</f>
        <v>0</v>
      </c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320"/>
      <c r="P74" s="324" t="str" cm="1">
        <f t="array" aca="1" ref="P74" ca="1">HYPERLINK(CELL("адрес",НалогСвод!D18),"перейти")</f>
        <v>перейти</v>
      </c>
      <c r="Q74" s="324" t="str" cm="1">
        <f t="array" aca="1" ref="Q74" ca="1">HYPERLINK(CELL("адрес",НалогСвод!D31),"перейти")</f>
        <v>перейти</v>
      </c>
    </row>
    <row r="75" spans="1:17" x14ac:dyDescent="0.25">
      <c r="A75" s="334">
        <v>6</v>
      </c>
      <c r="B75" s="353" t="s">
        <v>548</v>
      </c>
      <c r="C75" s="289">
        <f>ROUND(НалогСвод!$D$12/1000,2)</f>
        <v>19.940000000000001</v>
      </c>
      <c r="D75" s="376">
        <f>ROUND(НалогСвод!D32/1000,2)</f>
        <v>59.81</v>
      </c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320"/>
      <c r="P75" s="324" t="str" cm="1">
        <f t="array" aca="1" ref="P75" ca="1">HYPERLINK(CELL("адрес",НалогСвод!D19),"перейти")</f>
        <v>перейти</v>
      </c>
      <c r="Q75" s="324" t="str" cm="1">
        <f t="array" aca="1" ref="Q75" ca="1">HYPERLINK(CELL("адрес",НалогСвод!D32),"перейти")</f>
        <v>перейти</v>
      </c>
    </row>
    <row r="76" spans="1:17" x14ac:dyDescent="0.25">
      <c r="A76" s="334">
        <v>7</v>
      </c>
      <c r="B76" s="353" t="s">
        <v>549</v>
      </c>
      <c r="C76" s="289"/>
      <c r="D76" s="376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320"/>
      <c r="P76" s="323"/>
      <c r="Q76" s="323"/>
    </row>
    <row r="77" spans="1:17" x14ac:dyDescent="0.25">
      <c r="A77" s="334"/>
      <c r="B77" s="353" t="s">
        <v>388</v>
      </c>
      <c r="C77" s="289">
        <f ca="1">C71+C75+C76</f>
        <v>220.13</v>
      </c>
      <c r="D77" s="289">
        <f ca="1">D71+D75+D76</f>
        <v>115.19</v>
      </c>
      <c r="E77" s="282"/>
      <c r="F77" s="282"/>
      <c r="G77" s="282"/>
      <c r="H77" s="282"/>
      <c r="I77" s="282"/>
      <c r="J77" s="282"/>
      <c r="K77" s="282"/>
      <c r="L77" s="282"/>
      <c r="M77" s="282"/>
      <c r="N77" s="282"/>
      <c r="O77" s="320"/>
      <c r="P77" s="323"/>
      <c r="Q77" s="323"/>
    </row>
    <row r="78" spans="1:17" x14ac:dyDescent="0.25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320"/>
      <c r="P78" s="323"/>
      <c r="Q78" s="323"/>
    </row>
    <row r="79" spans="1:17" x14ac:dyDescent="0.25">
      <c r="A79" s="282"/>
      <c r="B79" s="342" t="s">
        <v>550</v>
      </c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320"/>
      <c r="P79" s="323"/>
      <c r="Q79" s="323"/>
    </row>
    <row r="80" spans="1:17" x14ac:dyDescent="0.25">
      <c r="A80" s="282"/>
      <c r="B80" s="354" t="s">
        <v>523</v>
      </c>
      <c r="C80" s="283">
        <v>2025</v>
      </c>
      <c r="D80" s="283">
        <v>2026</v>
      </c>
      <c r="E80" s="283">
        <v>2027</v>
      </c>
      <c r="F80" s="283">
        <v>2028</v>
      </c>
      <c r="G80" s="283">
        <v>2029</v>
      </c>
      <c r="H80" s="283">
        <v>2030</v>
      </c>
      <c r="I80" s="283">
        <v>2031</v>
      </c>
      <c r="J80" s="283">
        <v>2032</v>
      </c>
      <c r="K80" s="283">
        <v>2033</v>
      </c>
      <c r="L80" s="283">
        <v>2034</v>
      </c>
      <c r="M80" s="282"/>
      <c r="N80" s="282"/>
      <c r="O80" s="320"/>
      <c r="P80" s="323"/>
      <c r="Q80" s="323"/>
    </row>
    <row r="81" spans="1:16" ht="25.5" x14ac:dyDescent="0.25">
      <c r="A81" s="282"/>
      <c r="B81" s="355" t="s">
        <v>551</v>
      </c>
      <c r="C81" s="294">
        <f>Исходные!F73</f>
        <v>2</v>
      </c>
      <c r="D81" s="294">
        <f>Исходные!G73</f>
        <v>2</v>
      </c>
      <c r="E81" s="294">
        <f>Исходные!H73</f>
        <v>26</v>
      </c>
      <c r="F81" s="294">
        <f>Исходные!I73</f>
        <v>26</v>
      </c>
      <c r="G81" s="294">
        <f>Исходные!J73</f>
        <v>26</v>
      </c>
      <c r="H81" s="294">
        <f>Исходные!K73</f>
        <v>26</v>
      </c>
      <c r="I81" s="294">
        <f>Исходные!L73</f>
        <v>26</v>
      </c>
      <c r="J81" s="294">
        <f>Исходные!M73</f>
        <v>26</v>
      </c>
      <c r="K81" s="294">
        <f>Исходные!N73</f>
        <v>26</v>
      </c>
      <c r="L81" s="294">
        <f>Исходные!O73</f>
        <v>26</v>
      </c>
      <c r="M81" s="282"/>
      <c r="N81" s="282"/>
      <c r="O81" s="320"/>
      <c r="P81" s="324" t="str" cm="1">
        <f t="array" aca="1" ref="P81" ca="1">HYPERLINK(CELL("адрес",Исходные!B73),"перейти")</f>
        <v>перейти</v>
      </c>
    </row>
    <row r="82" spans="1:16" ht="25.5" x14ac:dyDescent="0.25">
      <c r="A82" s="282"/>
      <c r="B82" s="355" t="s">
        <v>552</v>
      </c>
      <c r="C82" s="294">
        <f>Исходные!F74</f>
        <v>2</v>
      </c>
      <c r="D82" s="294">
        <f>Исходные!G74</f>
        <v>0</v>
      </c>
      <c r="E82" s="294">
        <f>Исходные!H74</f>
        <v>24</v>
      </c>
      <c r="F82" s="294">
        <f>Исходные!I74</f>
        <v>0</v>
      </c>
      <c r="G82" s="294">
        <f>Исходные!J74</f>
        <v>0</v>
      </c>
      <c r="H82" s="294">
        <f>Исходные!K74</f>
        <v>0</v>
      </c>
      <c r="I82" s="294">
        <f>Исходные!L74</f>
        <v>0</v>
      </c>
      <c r="J82" s="294">
        <f>Исходные!M74</f>
        <v>0</v>
      </c>
      <c r="K82" s="294">
        <f>Исходные!N74</f>
        <v>0</v>
      </c>
      <c r="L82" s="294">
        <f>Исходные!O74</f>
        <v>0</v>
      </c>
      <c r="M82" s="282"/>
      <c r="N82" s="282"/>
      <c r="O82" s="320"/>
      <c r="P82" s="324" t="str" cm="1">
        <f t="array" aca="1" ref="P82" ca="1">HYPERLINK(CELL("адрес",Исходные!B74),"перейти")</f>
        <v>перейти</v>
      </c>
    </row>
    <row r="83" spans="1:16" x14ac:dyDescent="0.25">
      <c r="A83" s="282"/>
      <c r="B83" s="355" t="s">
        <v>553</v>
      </c>
      <c r="C83" s="294">
        <f>Персонал!F14</f>
        <v>120</v>
      </c>
      <c r="D83" s="294">
        <f>Персонал!G14</f>
        <v>123</v>
      </c>
      <c r="E83" s="294">
        <f>Персонал!H14</f>
        <v>94</v>
      </c>
      <c r="F83" s="294">
        <f>Персонал!I14</f>
        <v>96</v>
      </c>
      <c r="G83" s="294">
        <f>Персонал!J14</f>
        <v>99</v>
      </c>
      <c r="H83" s="294">
        <f>Персонал!K14</f>
        <v>101</v>
      </c>
      <c r="I83" s="294">
        <f>Персонал!L14</f>
        <v>104</v>
      </c>
      <c r="J83" s="294">
        <f>Персонал!M14</f>
        <v>107</v>
      </c>
      <c r="K83" s="294">
        <f>Персонал!N14</f>
        <v>109</v>
      </c>
      <c r="L83" s="294">
        <f>Персонал!O14</f>
        <v>112</v>
      </c>
      <c r="M83" s="282"/>
      <c r="N83" s="282"/>
      <c r="O83" s="320"/>
      <c r="P83" s="324" t="str" cm="1">
        <f t="array" aca="1" ref="P83" ca="1">HYPERLINK(CELL("адрес",Персонал!B14),"перейти")</f>
        <v>перейти</v>
      </c>
    </row>
    <row r="84" spans="1:16" x14ac:dyDescent="0.25">
      <c r="A84" s="282"/>
      <c r="B84" s="282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320"/>
      <c r="P84" s="323"/>
    </row>
    <row r="85" spans="1:16" x14ac:dyDescent="0.25">
      <c r="A85" s="335">
        <v>1</v>
      </c>
      <c r="B85" s="342" t="s">
        <v>557</v>
      </c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320"/>
      <c r="P85" s="323"/>
    </row>
    <row r="86" spans="1:16" x14ac:dyDescent="0.25">
      <c r="A86" s="282"/>
      <c r="B86" s="344" t="s">
        <v>558</v>
      </c>
      <c r="C86" s="371">
        <f ca="1">SUM(C96:L96)</f>
        <v>95</v>
      </c>
      <c r="D86" s="373" t="s">
        <v>559</v>
      </c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320"/>
      <c r="P86" s="323"/>
    </row>
    <row r="87" spans="1:16" x14ac:dyDescent="0.25">
      <c r="A87" s="282"/>
      <c r="B87" s="344" t="s">
        <v>560</v>
      </c>
      <c r="C87" s="372">
        <f>Макро!F19</f>
        <v>0.12</v>
      </c>
      <c r="D87" s="373" t="s">
        <v>27</v>
      </c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320"/>
      <c r="P87" s="324" t="str" cm="1">
        <f t="array" aca="1" ref="P87" ca="1">HYPERLINK(CELL("адрес",Макро!F19),"перейти")</f>
        <v>перейти</v>
      </c>
    </row>
    <row r="88" spans="1:16" x14ac:dyDescent="0.25">
      <c r="A88" s="282"/>
      <c r="B88" s="344" t="s">
        <v>561</v>
      </c>
      <c r="C88" s="373">
        <v>8</v>
      </c>
      <c r="D88" s="373" t="s">
        <v>131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320"/>
      <c r="P88" s="323"/>
    </row>
    <row r="89" spans="1:16" ht="25.5" x14ac:dyDescent="0.25">
      <c r="A89" s="282"/>
      <c r="B89" s="344" t="s">
        <v>562</v>
      </c>
      <c r="C89" s="372">
        <f ca="1">C12/C11</f>
        <v>0.24</v>
      </c>
      <c r="D89" s="373" t="s">
        <v>563</v>
      </c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320"/>
      <c r="P89" s="323"/>
    </row>
    <row r="90" spans="1:16" x14ac:dyDescent="0.25">
      <c r="A90" s="282"/>
      <c r="B90" s="344" t="s">
        <v>564</v>
      </c>
      <c r="C90" s="373" t="s">
        <v>565</v>
      </c>
      <c r="D90" s="373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320"/>
      <c r="P90" s="323"/>
    </row>
    <row r="91" spans="1:16" x14ac:dyDescent="0.25">
      <c r="A91" s="282"/>
      <c r="B91" s="344" t="s">
        <v>566</v>
      </c>
      <c r="C91" s="373" t="str">
        <f>CONCATENATE(Финансы!F3,"-",Финансы!G3)</f>
        <v>2025-2026</v>
      </c>
      <c r="D91" s="373" t="s">
        <v>567</v>
      </c>
      <c r="E91" s="295"/>
      <c r="F91" s="282"/>
      <c r="G91" s="282"/>
      <c r="H91" s="282"/>
      <c r="I91" s="282"/>
      <c r="J91" s="282"/>
      <c r="K91" s="282"/>
      <c r="L91" s="282"/>
      <c r="M91" s="282"/>
      <c r="N91" s="282"/>
      <c r="O91" s="320"/>
      <c r="P91" s="323"/>
    </row>
    <row r="92" spans="1:16" x14ac:dyDescent="0.25">
      <c r="A92" s="282"/>
      <c r="B92" s="282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320"/>
      <c r="P92" s="323"/>
    </row>
    <row r="93" spans="1:16" x14ac:dyDescent="0.25">
      <c r="A93" s="282"/>
      <c r="B93" s="282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320"/>
      <c r="P93" s="323"/>
    </row>
    <row r="94" spans="1:16" x14ac:dyDescent="0.25">
      <c r="A94" s="335">
        <v>2</v>
      </c>
      <c r="B94" s="342" t="s">
        <v>617</v>
      </c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320"/>
      <c r="P94" s="323"/>
    </row>
    <row r="95" spans="1:16" x14ac:dyDescent="0.25">
      <c r="A95" s="282"/>
      <c r="B95" s="356"/>
      <c r="C95" s="283">
        <v>2025</v>
      </c>
      <c r="D95" s="283">
        <v>2026</v>
      </c>
      <c r="E95" s="283">
        <v>2027</v>
      </c>
      <c r="F95" s="283">
        <v>2028</v>
      </c>
      <c r="G95" s="283">
        <v>2029</v>
      </c>
      <c r="H95" s="283">
        <v>2030</v>
      </c>
      <c r="I95" s="283">
        <v>2031</v>
      </c>
      <c r="J95" s="283">
        <v>2032</v>
      </c>
      <c r="K95" s="283">
        <v>2033</v>
      </c>
      <c r="L95" s="283">
        <v>2034</v>
      </c>
      <c r="M95" s="316" t="s">
        <v>528</v>
      </c>
      <c r="N95" s="282"/>
      <c r="O95" s="320"/>
      <c r="P95" s="323"/>
    </row>
    <row r="96" spans="1:16" x14ac:dyDescent="0.25">
      <c r="A96" s="282"/>
      <c r="B96" s="344" t="s">
        <v>554</v>
      </c>
      <c r="C96" s="296">
        <f ca="1">ROUND(Финансы!F22/1000,2)</f>
        <v>0</v>
      </c>
      <c r="D96" s="296">
        <f ca="1">ROUND(Финансы!G22/1000,2)</f>
        <v>95</v>
      </c>
      <c r="E96" s="296">
        <f ca="1">ROUND(Финансы!H22/1000,2)</f>
        <v>0</v>
      </c>
      <c r="F96" s="296">
        <f ca="1">ROUND(Финансы!I22/1000,2)</f>
        <v>0</v>
      </c>
      <c r="G96" s="296">
        <f ca="1">ROUND(Финансы!J22/1000,2)</f>
        <v>0</v>
      </c>
      <c r="H96" s="296">
        <f ca="1">ROUND(Финансы!K22/1000,2)</f>
        <v>0</v>
      </c>
      <c r="I96" s="296">
        <f ca="1">ROUND(Финансы!L22/1000,2)</f>
        <v>0</v>
      </c>
      <c r="J96" s="296">
        <f ca="1">ROUND(Финансы!M22/1000,2)</f>
        <v>0</v>
      </c>
      <c r="K96" s="296">
        <f ca="1">ROUND(Финансы!N22/1000,2)</f>
        <v>0</v>
      </c>
      <c r="L96" s="296">
        <f ca="1">ROUND(Финансы!O22/1000,2)</f>
        <v>0</v>
      </c>
      <c r="M96" s="318">
        <f ca="1">SUM(C96:L96)</f>
        <v>95</v>
      </c>
      <c r="N96" s="282"/>
      <c r="O96" s="320"/>
      <c r="P96" s="324" t="str" cm="1">
        <f t="array" aca="1" ref="P96" ca="1">HYPERLINK(CELL("адрес",Финансы!B22),"перейти")</f>
        <v>перейти</v>
      </c>
    </row>
    <row r="97" spans="2:17" x14ac:dyDescent="0.25">
      <c r="B97" s="344" t="s">
        <v>555</v>
      </c>
      <c r="C97" s="296">
        <f ca="1">ROUND(Финансы!F23/1000,2)</f>
        <v>0</v>
      </c>
      <c r="D97" s="296">
        <f ca="1">ROUND(Финансы!G23/1000,2)</f>
        <v>0</v>
      </c>
      <c r="E97" s="296">
        <f ca="1">ROUND(Финансы!H23/1000,2)</f>
        <v>11.88</v>
      </c>
      <c r="F97" s="296">
        <f ca="1">ROUND(Финансы!I23/1000,2)</f>
        <v>11.88</v>
      </c>
      <c r="G97" s="296">
        <f ca="1">ROUND(Финансы!J23/1000,2)</f>
        <v>11.88</v>
      </c>
      <c r="H97" s="296">
        <f ca="1">ROUND(Финансы!K23/1000,2)</f>
        <v>11.88</v>
      </c>
      <c r="I97" s="296">
        <f ca="1">ROUND(Финансы!L23/1000,2)</f>
        <v>11.88</v>
      </c>
      <c r="J97" s="296">
        <f ca="1">ROUND(Финансы!M23/1000,2)</f>
        <v>11.88</v>
      </c>
      <c r="K97" s="296">
        <f ca="1">ROUND(Финансы!N23/1000,2)</f>
        <v>11.88</v>
      </c>
      <c r="L97" s="296">
        <f ca="1">ROUND(Финансы!O23/1000,2)</f>
        <v>11.88</v>
      </c>
      <c r="M97" s="318">
        <f ca="1">SUM(C97:L97)</f>
        <v>95.039999999999992</v>
      </c>
      <c r="N97" s="282"/>
      <c r="O97" s="320"/>
      <c r="P97" s="324" t="str" cm="1">
        <f t="array" aca="1" ref="P97" ca="1">HYPERLINK(CELL("адрес",Финансы!B23),"перейти")</f>
        <v>перейти</v>
      </c>
      <c r="Q97" s="323"/>
    </row>
    <row r="98" spans="2:17" x14ac:dyDescent="0.25">
      <c r="B98" s="344" t="s">
        <v>556</v>
      </c>
      <c r="C98" s="296">
        <f ca="1">ROUND(Финансы!F25/1000,2)</f>
        <v>0</v>
      </c>
      <c r="D98" s="296">
        <f ca="1">ROUND(Финансы!G25/1000,2)</f>
        <v>5.7</v>
      </c>
      <c r="E98" s="296">
        <f ca="1">ROUND(Финансы!H25/1000,2)</f>
        <v>10.69</v>
      </c>
      <c r="F98" s="296">
        <f ca="1">ROUND(Финансы!I25/1000,2)</f>
        <v>9.26</v>
      </c>
      <c r="G98" s="296">
        <f ca="1">ROUND(Финансы!J25/1000,2)</f>
        <v>7.84</v>
      </c>
      <c r="H98" s="296">
        <f ca="1">ROUND(Финансы!K25/1000,2)</f>
        <v>6.41</v>
      </c>
      <c r="I98" s="296">
        <f ca="1">ROUND(Финансы!L25/1000,2)</f>
        <v>4.99</v>
      </c>
      <c r="J98" s="296">
        <f ca="1">ROUND(Финансы!M25/1000,2)</f>
        <v>3.56</v>
      </c>
      <c r="K98" s="296">
        <f ca="1">ROUND(Финансы!N25/1000,2)</f>
        <v>2.14</v>
      </c>
      <c r="L98" s="296">
        <f ca="1">ROUND(Финансы!O25/1000,2)</f>
        <v>0.71</v>
      </c>
      <c r="M98" s="318">
        <f ca="1">SUM(C98:L98)</f>
        <v>51.3</v>
      </c>
      <c r="N98" s="282"/>
      <c r="O98" s="320"/>
      <c r="P98" s="324" t="str" cm="1">
        <f t="array" aca="1" ref="P98" ca="1">HYPERLINK(CELL("адрес",Финансы!B25),"перейти")</f>
        <v>перейти</v>
      </c>
      <c r="Q98" s="323"/>
    </row>
    <row r="99" spans="2:17" x14ac:dyDescent="0.25">
      <c r="B99" s="357"/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82"/>
      <c r="N99" s="282"/>
      <c r="O99" s="320"/>
      <c r="P99" s="323"/>
      <c r="Q99" s="323"/>
    </row>
    <row r="100" spans="2:17" x14ac:dyDescent="0.25">
      <c r="B100" s="358"/>
      <c r="C100" s="358"/>
      <c r="D100" s="358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320"/>
      <c r="P100" s="323"/>
      <c r="Q100" s="323"/>
    </row>
    <row r="101" spans="2:17" x14ac:dyDescent="0.25">
      <c r="B101" s="282"/>
      <c r="C101" s="282"/>
      <c r="D101" s="282"/>
      <c r="E101" s="282"/>
      <c r="F101" s="282"/>
      <c r="G101" s="282"/>
      <c r="H101" s="282"/>
      <c r="I101" s="282"/>
      <c r="J101" s="282"/>
      <c r="K101" s="282"/>
      <c r="L101" s="282"/>
      <c r="M101" s="282"/>
      <c r="N101" s="282"/>
      <c r="O101" s="320"/>
      <c r="P101" s="323"/>
      <c r="Q101" s="323"/>
    </row>
    <row r="102" spans="2:17" x14ac:dyDescent="0.25">
      <c r="B102" s="359" t="s">
        <v>568</v>
      </c>
      <c r="C102" s="844" t="s">
        <v>569</v>
      </c>
      <c r="D102" s="844"/>
      <c r="E102" s="844"/>
      <c r="F102" s="844"/>
      <c r="G102" s="844"/>
      <c r="H102" s="844"/>
      <c r="I102" s="844"/>
      <c r="J102" s="844"/>
      <c r="K102" s="844"/>
      <c r="L102" s="844"/>
      <c r="M102" s="845" t="s">
        <v>464</v>
      </c>
      <c r="N102" s="282"/>
      <c r="O102" s="320"/>
      <c r="P102" s="323"/>
      <c r="Q102" s="323"/>
    </row>
    <row r="103" spans="2:17" ht="15.75" customHeight="1" x14ac:dyDescent="0.25">
      <c r="B103" s="360" t="s">
        <v>570</v>
      </c>
      <c r="C103" s="298">
        <v>2025</v>
      </c>
      <c r="D103" s="298">
        <v>2026</v>
      </c>
      <c r="E103" s="298">
        <v>2027</v>
      </c>
      <c r="F103" s="298">
        <v>2028</v>
      </c>
      <c r="G103" s="298">
        <v>2029</v>
      </c>
      <c r="H103" s="298">
        <v>2030</v>
      </c>
      <c r="I103" s="298">
        <v>2031</v>
      </c>
      <c r="J103" s="298">
        <v>2032</v>
      </c>
      <c r="K103" s="298">
        <v>2033</v>
      </c>
      <c r="L103" s="298">
        <v>2034</v>
      </c>
      <c r="M103" s="846"/>
      <c r="N103" s="282"/>
      <c r="O103" s="320"/>
      <c r="P103" s="323"/>
      <c r="Q103" s="323"/>
    </row>
    <row r="104" spans="2:17" x14ac:dyDescent="0.25">
      <c r="B104" s="299">
        <v>1</v>
      </c>
      <c r="C104" s="299">
        <v>2</v>
      </c>
      <c r="D104" s="299">
        <v>3</v>
      </c>
      <c r="E104" s="299">
        <v>4</v>
      </c>
      <c r="F104" s="299">
        <v>5</v>
      </c>
      <c r="G104" s="299">
        <v>6</v>
      </c>
      <c r="H104" s="299">
        <v>7</v>
      </c>
      <c r="I104" s="299">
        <v>8</v>
      </c>
      <c r="J104" s="299">
        <v>9</v>
      </c>
      <c r="K104" s="299">
        <v>10</v>
      </c>
      <c r="L104" s="299">
        <v>11</v>
      </c>
      <c r="M104" s="299">
        <v>12</v>
      </c>
      <c r="N104" s="282"/>
      <c r="O104" s="320"/>
      <c r="P104" s="323"/>
      <c r="Q104" s="323"/>
    </row>
    <row r="105" spans="2:17" ht="76.5" x14ac:dyDescent="0.25">
      <c r="B105" s="360" t="s">
        <v>571</v>
      </c>
      <c r="C105" s="300">
        <f t="shared" ref="C105:L105" si="7">C46</f>
        <v>18</v>
      </c>
      <c r="D105" s="300">
        <f t="shared" si="7"/>
        <v>57</v>
      </c>
      <c r="E105" s="300">
        <f t="shared" si="7"/>
        <v>0</v>
      </c>
      <c r="F105" s="300">
        <f t="shared" si="7"/>
        <v>0</v>
      </c>
      <c r="G105" s="300">
        <f t="shared" si="7"/>
        <v>0</v>
      </c>
      <c r="H105" s="300">
        <f t="shared" si="7"/>
        <v>0</v>
      </c>
      <c r="I105" s="300">
        <f t="shared" si="7"/>
        <v>0</v>
      </c>
      <c r="J105" s="300">
        <f t="shared" si="7"/>
        <v>0</v>
      </c>
      <c r="K105" s="300">
        <f t="shared" si="7"/>
        <v>0</v>
      </c>
      <c r="L105" s="300">
        <f t="shared" si="7"/>
        <v>0</v>
      </c>
      <c r="M105" s="319">
        <f t="shared" ref="M105:M110" si="8">SUM(C105:L105)</f>
        <v>75</v>
      </c>
      <c r="N105" s="282"/>
      <c r="O105" s="320"/>
      <c r="P105" s="324" t="s">
        <v>591</v>
      </c>
      <c r="Q105" s="282"/>
    </row>
    <row r="106" spans="2:17" ht="51" x14ac:dyDescent="0.25">
      <c r="B106" s="360" t="s">
        <v>572</v>
      </c>
      <c r="C106" s="300">
        <f>C105</f>
        <v>18</v>
      </c>
      <c r="D106" s="300">
        <f t="shared" ref="D106:H106" si="9">D105</f>
        <v>57</v>
      </c>
      <c r="E106" s="300">
        <f t="shared" si="9"/>
        <v>0</v>
      </c>
      <c r="F106" s="300">
        <f t="shared" si="9"/>
        <v>0</v>
      </c>
      <c r="G106" s="300">
        <f t="shared" si="9"/>
        <v>0</v>
      </c>
      <c r="H106" s="300">
        <f t="shared" si="9"/>
        <v>0</v>
      </c>
      <c r="I106" s="300">
        <f t="shared" ref="I106:L106" si="10">I105</f>
        <v>0</v>
      </c>
      <c r="J106" s="300">
        <f t="shared" si="10"/>
        <v>0</v>
      </c>
      <c r="K106" s="300">
        <f t="shared" si="10"/>
        <v>0</v>
      </c>
      <c r="L106" s="300">
        <f t="shared" si="10"/>
        <v>0</v>
      </c>
      <c r="M106" s="319">
        <f t="shared" si="8"/>
        <v>75</v>
      </c>
      <c r="N106" s="282"/>
      <c r="O106" s="320"/>
      <c r="P106" s="323"/>
      <c r="Q106" s="323"/>
    </row>
    <row r="107" spans="2:17" ht="25.5" x14ac:dyDescent="0.25">
      <c r="B107" s="360" t="s">
        <v>573</v>
      </c>
      <c r="C107" s="301">
        <f t="shared" ref="C107:L107" si="11">C82</f>
        <v>2</v>
      </c>
      <c r="D107" s="301">
        <f t="shared" si="11"/>
        <v>0</v>
      </c>
      <c r="E107" s="301">
        <f t="shared" si="11"/>
        <v>24</v>
      </c>
      <c r="F107" s="301">
        <f t="shared" si="11"/>
        <v>0</v>
      </c>
      <c r="G107" s="301">
        <f t="shared" si="11"/>
        <v>0</v>
      </c>
      <c r="H107" s="301">
        <f t="shared" si="11"/>
        <v>0</v>
      </c>
      <c r="I107" s="301">
        <f t="shared" si="11"/>
        <v>0</v>
      </c>
      <c r="J107" s="301">
        <f t="shared" si="11"/>
        <v>0</v>
      </c>
      <c r="K107" s="301">
        <f t="shared" si="11"/>
        <v>0</v>
      </c>
      <c r="L107" s="301">
        <f t="shared" si="11"/>
        <v>0</v>
      </c>
      <c r="M107" s="319">
        <f t="shared" si="8"/>
        <v>26</v>
      </c>
      <c r="N107" s="282"/>
      <c r="O107" s="320"/>
      <c r="P107" s="324" t="s">
        <v>591</v>
      </c>
      <c r="Q107" s="323"/>
    </row>
    <row r="108" spans="2:17" ht="51" x14ac:dyDescent="0.25">
      <c r="B108" s="360" t="s">
        <v>574</v>
      </c>
      <c r="C108" s="300">
        <f t="shared" ref="C108:L108" si="12">C62</f>
        <v>0</v>
      </c>
      <c r="D108" s="300">
        <f t="shared" si="12"/>
        <v>0</v>
      </c>
      <c r="E108" s="300">
        <f t="shared" si="12"/>
        <v>39</v>
      </c>
      <c r="F108" s="300">
        <f t="shared" si="12"/>
        <v>113</v>
      </c>
      <c r="G108" s="300">
        <f t="shared" si="12"/>
        <v>117</v>
      </c>
      <c r="H108" s="300">
        <f t="shared" si="12"/>
        <v>122</v>
      </c>
      <c r="I108" s="300">
        <f t="shared" si="12"/>
        <v>127</v>
      </c>
      <c r="J108" s="300">
        <f t="shared" si="12"/>
        <v>132</v>
      </c>
      <c r="K108" s="300">
        <f t="shared" si="12"/>
        <v>137</v>
      </c>
      <c r="L108" s="300">
        <f t="shared" si="12"/>
        <v>143</v>
      </c>
      <c r="M108" s="319">
        <f t="shared" si="8"/>
        <v>930</v>
      </c>
      <c r="N108" s="282"/>
      <c r="O108" s="320"/>
      <c r="P108" s="324" t="s">
        <v>591</v>
      </c>
      <c r="Q108" s="323"/>
    </row>
    <row r="109" spans="2:17" ht="63.75" x14ac:dyDescent="0.25">
      <c r="B109" s="360" t="s">
        <v>575</v>
      </c>
      <c r="C109" s="302">
        <f ca="1">ROUND((НалогСвод!F5-НалогСвод!F12)/1000,2)</f>
        <v>-0.82</v>
      </c>
      <c r="D109" s="302">
        <f ca="1">ROUND((НалогСвод!G5-НалогСвод!G12)/1000,2)</f>
        <v>-0.97</v>
      </c>
      <c r="E109" s="302">
        <f ca="1">ROUND((НалогСвод!H5-НалогСвод!H12)/1000,2)</f>
        <v>8.69</v>
      </c>
      <c r="F109" s="302">
        <f ca="1">ROUND((НалогСвод!I5-НалогСвод!I12)/1000,2)</f>
        <v>23.33</v>
      </c>
      <c r="G109" s="302">
        <f ca="1">ROUND((НалогСвод!J5-НалогСвод!J12)/1000,2)</f>
        <v>24.31</v>
      </c>
      <c r="H109" s="302">
        <f ca="1">ROUND((НалогСвод!K5-НалогСвод!K12)/1000,2)</f>
        <v>25.4</v>
      </c>
      <c r="I109" s="302">
        <f ca="1">ROUND((НалогСвод!L5-НалогСвод!L12)/1000,2)</f>
        <v>26.52</v>
      </c>
      <c r="J109" s="302">
        <f ca="1">ROUND((НалогСвод!M5-НалогСвод!M12)/1000,2)</f>
        <v>27.61</v>
      </c>
      <c r="K109" s="302">
        <f ca="1">ROUND((НалогСвод!N5-НалогСвод!N12)/1000,2)</f>
        <v>32.340000000000003</v>
      </c>
      <c r="L109" s="302">
        <f ca="1">ROUND((НалогСвод!O5-НалогСвод!O12)/1000,2)</f>
        <v>33.770000000000003</v>
      </c>
      <c r="M109" s="319">
        <f t="shared" ca="1" si="8"/>
        <v>200.18</v>
      </c>
      <c r="N109" s="282"/>
      <c r="O109" s="320"/>
      <c r="P109" s="324" t="str" cm="1">
        <f t="array" aca="1" ref="P109" ca="1">HYPERLINK(CELL("адрес",НалогСвод!B5),"перейти")</f>
        <v>перейти</v>
      </c>
      <c r="Q109" s="323"/>
    </row>
    <row r="110" spans="2:17" ht="25.5" x14ac:dyDescent="0.25">
      <c r="B110" s="360" t="s">
        <v>576</v>
      </c>
      <c r="C110" s="303" t="s">
        <v>134</v>
      </c>
      <c r="D110" s="303" t="s">
        <v>134</v>
      </c>
      <c r="E110" s="303" t="s">
        <v>134</v>
      </c>
      <c r="F110" s="303" t="s">
        <v>134</v>
      </c>
      <c r="G110" s="303" t="s">
        <v>134</v>
      </c>
      <c r="H110" s="303" t="s">
        <v>134</v>
      </c>
      <c r="I110" s="303" t="s">
        <v>134</v>
      </c>
      <c r="J110" s="303" t="s">
        <v>134</v>
      </c>
      <c r="K110" s="303" t="s">
        <v>134</v>
      </c>
      <c r="L110" s="303" t="s">
        <v>134</v>
      </c>
      <c r="M110" s="319">
        <f t="shared" si="8"/>
        <v>0</v>
      </c>
      <c r="N110" s="282"/>
      <c r="O110" s="320"/>
      <c r="P110" s="323"/>
      <c r="Q110" s="323"/>
    </row>
    <row r="111" spans="2:17" ht="18.75" x14ac:dyDescent="0.25">
      <c r="B111" s="36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282"/>
      <c r="O111" s="320"/>
      <c r="P111" s="323"/>
      <c r="Q111" s="323"/>
    </row>
    <row r="112" spans="2:17" x14ac:dyDescent="0.25"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320"/>
      <c r="P112" s="323"/>
      <c r="Q112" s="323"/>
    </row>
  </sheetData>
  <mergeCells count="3">
    <mergeCell ref="A71:A74"/>
    <mergeCell ref="C102:L102"/>
    <mergeCell ref="M102:M103"/>
  </mergeCells>
  <hyperlinks>
    <hyperlink ref="P11" location="ИтогТаблицы!M116" display="перейти" xr:uid="{A504CEE5-0225-437C-B8A8-457175854B8A}"/>
    <hyperlink ref="P12" location="ИтогТаблицы!M112" display="перейти" xr:uid="{5B9A0F6D-62E2-4593-B001-17BE051F7C23}"/>
    <hyperlink ref="P13" location="ИтогТаблицы!M113" display="перейти" xr:uid="{76B1DB72-4F7E-48C0-91D2-D22FF92A7701}"/>
    <hyperlink ref="P105" location="ИтогТаблицы!A46" display="перейти" xr:uid="{C5AB5572-3665-4FFC-BBE5-648C9CAACE7B}"/>
    <hyperlink ref="P107" location="ИтогТаблицы!A82" display="перейти" xr:uid="{7172A353-5606-4432-BA93-F0F75ED71244}"/>
    <hyperlink ref="P108" location="ИтогТаблицы!A62" display="перейти" xr:uid="{FE6EACC9-608F-44BB-82D4-7644C58AC2C8}"/>
  </hyperlinks>
  <pageMargins left="0.70866141732283472" right="0.70866141732283472" top="0.74803149606299213" bottom="0.74803149606299213" header="0.31496062992125984" footer="0.31496062992125984"/>
  <pageSetup paperSize="9" scale="92" fitToHeight="16" orientation="landscape" r:id="rId1"/>
  <headerFooter>
    <oddFooter>&amp;C&amp;9&amp;P из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F939-ED8B-4062-A246-6DFD34734C62}">
  <sheetPr>
    <tabColor theme="5" tint="0.79998168889431442"/>
    <outlinePr summaryRight="0"/>
    <pageSetUpPr fitToPage="1"/>
  </sheetPr>
  <dimension ref="A1:F3"/>
  <sheetViews>
    <sheetView zoomScale="85" zoomScaleNormal="85" workbookViewId="0">
      <pane ySplit="3" topLeftCell="A4" activePane="bottomLeft" state="frozen"/>
      <selection activeCell="C1" sqref="C1"/>
      <selection pane="bottomLeft" activeCell="C48" sqref="C48"/>
    </sheetView>
  </sheetViews>
  <sheetFormatPr defaultColWidth="0" defaultRowHeight="15" x14ac:dyDescent="0.25"/>
  <cols>
    <col min="1" max="1" width="25.42578125" style="381" customWidth="1"/>
    <col min="2" max="2" width="11.140625" style="379" customWidth="1"/>
    <col min="3" max="3" width="135.42578125" style="379" customWidth="1"/>
    <col min="4" max="4" width="13.5703125" style="379" customWidth="1"/>
    <col min="5" max="5" width="19.5703125" style="381" customWidth="1"/>
    <col min="6" max="6" width="2.140625" style="379" customWidth="1"/>
    <col min="7" max="16384" width="8.85546875" style="379" hidden="1"/>
  </cols>
  <sheetData>
    <row r="1" spans="1:5" ht="18.75" x14ac:dyDescent="0.25">
      <c r="A1" s="690" t="s">
        <v>902</v>
      </c>
      <c r="D1" s="380"/>
    </row>
    <row r="2" spans="1:5" ht="17.649999999999999" customHeight="1" x14ac:dyDescent="0.25">
      <c r="A2" s="378" t="str">
        <f>Паспорт_ФМ_резидент!B7</f>
        <v>Название инвест. проект 01</v>
      </c>
    </row>
    <row r="3" spans="1:5" ht="9.6" customHeight="1" x14ac:dyDescent="0.25">
      <c r="A3" s="72"/>
      <c r="B3" s="72"/>
      <c r="C3" s="74"/>
      <c r="D3" s="72"/>
      <c r="E3" s="7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&amp;C&amp;9Страница  &amp;P из &amp;N&amp;R&amp;G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9FC0-5C21-427B-B293-D8A79E820AAB}">
  <sheetPr>
    <tabColor theme="5" tint="0.79998168889431442"/>
    <outlinePr summaryRight="0"/>
    <pageSetUpPr fitToPage="1"/>
  </sheetPr>
  <dimension ref="A1:F163"/>
  <sheetViews>
    <sheetView zoomScale="85" zoomScaleNormal="85" workbookViewId="0">
      <pane ySplit="3" topLeftCell="A4" activePane="bottomLeft" state="frozen"/>
      <selection activeCell="C1" sqref="C1"/>
      <selection pane="bottomLeft"/>
    </sheetView>
  </sheetViews>
  <sheetFormatPr defaultColWidth="0" defaultRowHeight="15" x14ac:dyDescent="0.25"/>
  <cols>
    <col min="1" max="1" width="25.42578125" style="381" customWidth="1"/>
    <col min="2" max="2" width="11.140625" style="379" customWidth="1"/>
    <col min="3" max="3" width="135.42578125" style="379" customWidth="1"/>
    <col min="4" max="4" width="13.5703125" style="379" customWidth="1"/>
    <col min="5" max="5" width="19.5703125" style="381" customWidth="1"/>
    <col min="6" max="6" width="2.140625" style="379" customWidth="1"/>
    <col min="7" max="16384" width="8.85546875" style="379" hidden="1"/>
  </cols>
  <sheetData>
    <row r="1" spans="1:5" ht="18.75" x14ac:dyDescent="0.25">
      <c r="A1" s="690" t="s">
        <v>903</v>
      </c>
      <c r="D1" s="380"/>
    </row>
    <row r="2" spans="1:5" ht="17.649999999999999" customHeight="1" x14ac:dyDescent="0.25">
      <c r="A2" s="378" t="str">
        <f>Паспорт_ФМ_резидент!B7</f>
        <v>Название инвест. проект 01</v>
      </c>
    </row>
    <row r="3" spans="1:5" ht="9.6" customHeight="1" x14ac:dyDescent="0.25">
      <c r="A3" s="72"/>
      <c r="B3" s="72"/>
      <c r="C3" s="74"/>
      <c r="D3" s="72"/>
      <c r="E3" s="72"/>
    </row>
    <row r="5" spans="1:5" s="731" customFormat="1" ht="15.75" x14ac:dyDescent="0.25">
      <c r="A5" s="383" t="str" cm="1">
        <f t="array" aca="1" ref="A5" ca="1">HYPERLINK(CELL("адрес",БДР!$A$1),"источник")</f>
        <v>источник</v>
      </c>
      <c r="B5" s="382" t="s">
        <v>624</v>
      </c>
      <c r="C5" s="382"/>
      <c r="D5" s="382"/>
      <c r="E5" s="382"/>
    </row>
    <row r="24" spans="1:5" s="731" customFormat="1" ht="15.75" x14ac:dyDescent="0.25">
      <c r="A24" s="383" t="str" cm="1">
        <f t="array" aca="1" ref="A24" ca="1">HYPERLINK(CELL("адрес",БДДС!$A$1),"источник")</f>
        <v>источник</v>
      </c>
      <c r="B24" s="382" t="s">
        <v>625</v>
      </c>
      <c r="C24" s="382"/>
      <c r="D24" s="382"/>
      <c r="E24" s="382"/>
    </row>
    <row r="43" spans="1:5" s="731" customFormat="1" ht="15.75" x14ac:dyDescent="0.25">
      <c r="A43" s="383" t="str" cm="1">
        <f t="array" aca="1" ref="A43" ca="1">HYPERLINK(CELL("адрес",Баланс!$A$1),"источник")</f>
        <v>источник</v>
      </c>
      <c r="B43" s="382" t="s">
        <v>728</v>
      </c>
      <c r="C43" s="382"/>
      <c r="D43" s="382"/>
      <c r="E43" s="382"/>
    </row>
    <row r="63" spans="1:5" s="731" customFormat="1" ht="15.75" x14ac:dyDescent="0.25">
      <c r="A63" s="383" t="str" cm="1">
        <f t="array" aca="1" ref="A63" ca="1">HYPERLINK(CELL("адрес",Инвестиции!A1),"источник")</f>
        <v>источник</v>
      </c>
      <c r="B63" s="382" t="s">
        <v>747</v>
      </c>
      <c r="C63" s="382"/>
      <c r="D63" s="382"/>
      <c r="E63" s="382"/>
    </row>
    <row r="82" spans="1:5" s="731" customFormat="1" ht="15.75" x14ac:dyDescent="0.25">
      <c r="A82" s="383" t="str" cm="1">
        <f t="array" aca="1" ref="A82" ca="1">HYPERLINK(CELL("адрес",Финансы!$A$1),"источник")</f>
        <v>источник</v>
      </c>
      <c r="B82" s="382" t="s">
        <v>768</v>
      </c>
      <c r="C82" s="382"/>
      <c r="D82" s="382"/>
      <c r="E82" s="382"/>
    </row>
    <row r="102" spans="1:5" s="731" customFormat="1" ht="15.75" x14ac:dyDescent="0.25">
      <c r="A102" s="383" t="str" cm="1">
        <f t="array" aca="1" ref="A102" ca="1">HYPERLINK(CELL("адрес",Выручка!$A$1),"источник")</f>
        <v>источник</v>
      </c>
      <c r="B102" s="382" t="s">
        <v>459</v>
      </c>
      <c r="C102" s="382"/>
      <c r="D102" s="382"/>
      <c r="E102" s="382"/>
    </row>
    <row r="123" spans="1:5" s="731" customFormat="1" ht="15.75" x14ac:dyDescent="0.25">
      <c r="A123" s="383" t="str" cm="1">
        <f t="array" aca="1" ref="A123" ca="1">HYPERLINK(CELL("адрес",Ресурсы!$A$1),"источник")</f>
        <v>источник</v>
      </c>
      <c r="B123" s="382" t="s">
        <v>744</v>
      </c>
      <c r="C123" s="382"/>
      <c r="D123" s="382"/>
      <c r="E123" s="382"/>
    </row>
    <row r="143" spans="1:5" s="731" customFormat="1" ht="15.75" x14ac:dyDescent="0.25">
      <c r="A143" s="383" t="str" cm="1">
        <f t="array" aca="1" ref="A143" ca="1">HYPERLINK(CELL("адрес",Персонал!A1),"источник")</f>
        <v>источник</v>
      </c>
      <c r="B143" s="382" t="s">
        <v>746</v>
      </c>
      <c r="C143" s="382"/>
      <c r="D143" s="382"/>
      <c r="E143" s="382"/>
    </row>
    <row r="163" spans="1:5" s="731" customFormat="1" ht="15.75" x14ac:dyDescent="0.25">
      <c r="A163" s="383" t="str" cm="1">
        <f t="array" aca="1" ref="A163" ca="1">HYPERLINK(CELL("адрес",КПЭ!$A$1),"источник")</f>
        <v>источник</v>
      </c>
      <c r="B163" s="382" t="s">
        <v>745</v>
      </c>
      <c r="C163" s="382"/>
      <c r="D163" s="382"/>
      <c r="E163" s="38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fitToHeight="6" orientation="landscape" r:id="rId1"/>
  <headerFooter>
    <oddFooter>&amp;C&amp;9Страница  &amp;P из &amp;N&amp;R&amp;G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CC60-16FC-4BF7-8E9C-E2928CBE15F1}">
  <sheetPr codeName="Лист4">
    <tabColor theme="5" tint="0.79998168889431442"/>
    <outlinePr summaryRight="0"/>
    <pageSetUpPr fitToPage="1"/>
  </sheetPr>
  <dimension ref="A1:AD64"/>
  <sheetViews>
    <sheetView zoomScale="115" zoomScaleNormal="115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defaultRowHeight="15" outlineLevelCol="1" x14ac:dyDescent="0.25"/>
  <cols>
    <col min="1" max="1" width="10.42578125" customWidth="1"/>
    <col min="2" max="2" width="33.42578125" customWidth="1"/>
    <col min="3" max="3" width="9.5703125" style="14" customWidth="1"/>
    <col min="4" max="4" width="11" style="6" customWidth="1"/>
    <col min="5" max="5" width="2.28515625" customWidth="1"/>
    <col min="6" max="6" width="10" bestFit="1" customWidth="1"/>
    <col min="16" max="16" width="0.855468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7.4" customHeight="1" x14ac:dyDescent="0.25">
      <c r="A1" s="690" t="s">
        <v>1067</v>
      </c>
      <c r="B1" s="71"/>
      <c r="C1" s="404"/>
      <c r="D1" s="124"/>
      <c r="E1" s="71"/>
      <c r="F1" s="71"/>
      <c r="G1" s="71"/>
      <c r="H1" s="71"/>
      <c r="J1" s="71"/>
      <c r="K1" s="71"/>
      <c r="L1" s="71"/>
      <c r="M1" s="154" t="str">
        <f ca="1">Контроль!$Q$1</f>
        <v>Ошибок нет</v>
      </c>
      <c r="N1" s="71"/>
      <c r="O1" s="71"/>
      <c r="P1" s="71"/>
      <c r="Q1" s="391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04"/>
      <c r="D2" s="124"/>
      <c r="E2" s="71"/>
      <c r="F2" s="384">
        <v>1</v>
      </c>
      <c r="G2" s="384">
        <v>2</v>
      </c>
      <c r="H2" s="384">
        <v>3</v>
      </c>
      <c r="I2" s="384">
        <v>4</v>
      </c>
      <c r="J2" s="384">
        <v>5</v>
      </c>
      <c r="K2" s="384">
        <v>6</v>
      </c>
      <c r="L2" s="384">
        <v>7</v>
      </c>
      <c r="M2" s="384">
        <v>8</v>
      </c>
      <c r="N2" s="384">
        <v>9</v>
      </c>
      <c r="O2" s="384">
        <v>10</v>
      </c>
      <c r="P2" s="392"/>
      <c r="Q2" s="159"/>
      <c r="R2" s="392">
        <v>11</v>
      </c>
      <c r="S2" s="384">
        <f>R2+1</f>
        <v>12</v>
      </c>
      <c r="T2" s="384">
        <f>S2+1</f>
        <v>13</v>
      </c>
      <c r="U2" s="384">
        <f t="shared" ref="U2:AA3" si="0">T2+1</f>
        <v>14</v>
      </c>
      <c r="V2" s="384">
        <f t="shared" si="0"/>
        <v>15</v>
      </c>
      <c r="W2" s="384">
        <f t="shared" si="0"/>
        <v>16</v>
      </c>
      <c r="X2" s="384">
        <f t="shared" si="0"/>
        <v>17</v>
      </c>
      <c r="Y2" s="384">
        <f t="shared" si="0"/>
        <v>18</v>
      </c>
      <c r="Z2" s="384">
        <f t="shared" si="0"/>
        <v>19</v>
      </c>
      <c r="AA2" s="384">
        <f t="shared" si="0"/>
        <v>20</v>
      </c>
      <c r="AB2" s="71"/>
      <c r="AC2" s="71"/>
      <c r="AD2" s="71"/>
    </row>
    <row r="3" spans="1:30" s="18" customFormat="1" ht="28.5" x14ac:dyDescent="0.25">
      <c r="A3" s="127"/>
      <c r="B3" s="127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743"/>
      <c r="B4" s="108"/>
      <c r="C4" s="743"/>
      <c r="D4" s="743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226" t="str" cm="1">
        <f t="array" aca="1" ref="A5" ca="1">HYPERLINK(CELL("адрес",Выручка!A8),"источник")</f>
        <v>источник</v>
      </c>
      <c r="B5" s="398" t="s">
        <v>459</v>
      </c>
      <c r="C5" s="270" t="s">
        <v>19</v>
      </c>
      <c r="D5" s="411">
        <f>SUM(F5:O5)</f>
        <v>929773.54922430473</v>
      </c>
      <c r="E5" s="71"/>
      <c r="F5" s="411">
        <f>Выручка!F8</f>
        <v>0</v>
      </c>
      <c r="G5" s="411">
        <f>Выручка!G8</f>
        <v>0</v>
      </c>
      <c r="H5" s="411">
        <f>Выручка!H8</f>
        <v>38530</v>
      </c>
      <c r="I5" s="411">
        <f>Выручка!I8</f>
        <v>112840</v>
      </c>
      <c r="J5" s="411">
        <f>Выручка!J8</f>
        <v>117353.60000000002</v>
      </c>
      <c r="K5" s="411">
        <f>Выручка!K8</f>
        <v>122047.74400000002</v>
      </c>
      <c r="L5" s="411">
        <f>Выручка!L8</f>
        <v>126929.65376</v>
      </c>
      <c r="M5" s="411">
        <f>Выручка!M8</f>
        <v>132006.83991040001</v>
      </c>
      <c r="N5" s="411">
        <f>Выручка!N8</f>
        <v>137287.11350681601</v>
      </c>
      <c r="O5" s="411">
        <f>Выручка!O8</f>
        <v>142778.59804708866</v>
      </c>
      <c r="P5" s="385"/>
      <c r="Q5" s="159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71"/>
      <c r="AC5" s="71"/>
      <c r="AD5" s="71"/>
    </row>
    <row r="6" spans="1:30" ht="28.5" x14ac:dyDescent="0.25">
      <c r="A6" s="149"/>
      <c r="B6" s="398" t="s">
        <v>104</v>
      </c>
      <c r="C6" s="270" t="s">
        <v>19</v>
      </c>
      <c r="D6" s="411">
        <f>SUM(D7:D11)</f>
        <v>-420413.57812217117</v>
      </c>
      <c r="E6" s="71"/>
      <c r="F6" s="411">
        <f t="shared" ref="F6:O6" si="2">SUM(F7:F11)</f>
        <v>-4985</v>
      </c>
      <c r="G6" s="411">
        <f t="shared" si="2"/>
        <v>-5181.8</v>
      </c>
      <c r="H6" s="411">
        <f t="shared" si="2"/>
        <v>-45295.958025390479</v>
      </c>
      <c r="I6" s="411">
        <f t="shared" si="2"/>
        <v>-54173.848677968868</v>
      </c>
      <c r="J6" s="411">
        <f t="shared" si="2"/>
        <v>-54605.547960975229</v>
      </c>
      <c r="K6" s="411">
        <f t="shared" si="2"/>
        <v>-51506.329457799889</v>
      </c>
      <c r="L6" s="411">
        <f t="shared" si="2"/>
        <v>-49188.145301752207</v>
      </c>
      <c r="M6" s="411">
        <f t="shared" si="2"/>
        <v>-50479.871174620544</v>
      </c>
      <c r="N6" s="411">
        <f t="shared" si="2"/>
        <v>-51811.801483723386</v>
      </c>
      <c r="O6" s="411">
        <f t="shared" si="2"/>
        <v>-53185.276039940523</v>
      </c>
      <c r="P6" s="385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30" x14ac:dyDescent="0.25">
      <c r="A7" s="226" t="str" cm="1">
        <f t="array" aca="1" ref="A7" ca="1">HYPERLINK(CELL("адрес",Себестоимость!A7),"источник")</f>
        <v>источник</v>
      </c>
      <c r="B7" s="744" t="s">
        <v>251</v>
      </c>
      <c r="C7" s="270" t="s">
        <v>19</v>
      </c>
      <c r="D7" s="409">
        <f>SUM(F7:O7)</f>
        <v>-40828.286048632843</v>
      </c>
      <c r="E7" s="71"/>
      <c r="F7" s="230">
        <f>-Себестоимость!F7</f>
        <v>0</v>
      </c>
      <c r="G7" s="230">
        <f>-Себестоимость!G7</f>
        <v>0</v>
      </c>
      <c r="H7" s="230">
        <f>-Себестоимость!H7</f>
        <v>-1400</v>
      </c>
      <c r="I7" s="230">
        <f>-Себестоимость!I7</f>
        <v>-4992.0000000000009</v>
      </c>
      <c r="J7" s="230">
        <f>-Себестоимость!J7</f>
        <v>-5191.6800000000012</v>
      </c>
      <c r="K7" s="230">
        <f>-Себестоимость!K7</f>
        <v>-5399.347200000002</v>
      </c>
      <c r="L7" s="230">
        <f>-Себестоимость!L7</f>
        <v>-5615.3210880000015</v>
      </c>
      <c r="M7" s="230">
        <f>-Себестоимость!M7</f>
        <v>-5839.9339315200014</v>
      </c>
      <c r="N7" s="230">
        <f>-Себестоимость!N7</f>
        <v>-6073.5312887808013</v>
      </c>
      <c r="O7" s="230">
        <f>-Себестоимость!O7</f>
        <v>-6316.4725403320344</v>
      </c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226" t="str" cm="1">
        <f t="array" aca="1" ref="A8" ca="1">HYPERLINK(CELL("адрес",Ресурсы!A5),"источник")</f>
        <v>источник</v>
      </c>
      <c r="B8" s="744" t="s">
        <v>262</v>
      </c>
      <c r="C8" s="270" t="s">
        <v>19</v>
      </c>
      <c r="D8" s="409">
        <f>SUM(F8:O8)</f>
        <v>-127739.5685858925</v>
      </c>
      <c r="E8" s="71"/>
      <c r="F8" s="230">
        <f>-Ресурсы!F5</f>
        <v>-4685</v>
      </c>
      <c r="G8" s="230">
        <f>-Ресурсы!G5</f>
        <v>-4881.8</v>
      </c>
      <c r="H8" s="230">
        <f>-Ресурсы!H5</f>
        <v>-9457.026249999999</v>
      </c>
      <c r="I8" s="230">
        <f>-Ресурсы!I5</f>
        <v>-14158.022887499999</v>
      </c>
      <c r="J8" s="230">
        <f>-Ресурсы!J5</f>
        <v>-14623.022683687499</v>
      </c>
      <c r="K8" s="230">
        <f>-Ресурсы!K5</f>
        <v>-15104.089443739686</v>
      </c>
      <c r="L8" s="230">
        <f>-Ресурсы!L5</f>
        <v>-15530.835519859778</v>
      </c>
      <c r="M8" s="230">
        <f>-Ресурсы!M5</f>
        <v>-15971.99017650024</v>
      </c>
      <c r="N8" s="230">
        <f>-Ресурсы!N5</f>
        <v>-16428.089837944004</v>
      </c>
      <c r="O8" s="230">
        <f>-Ресурсы!O5</f>
        <v>-16899.691786661278</v>
      </c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30" x14ac:dyDescent="0.25">
      <c r="A9" s="226" t="str" cm="1">
        <f t="array" aca="1" ref="A9" ca="1">HYPERLINK(CELL("адрес",Персонал!A45),"источник")</f>
        <v>источник</v>
      </c>
      <c r="B9" s="744" t="s">
        <v>480</v>
      </c>
      <c r="C9" s="270" t="s">
        <v>19</v>
      </c>
      <c r="D9" s="409">
        <f>SUM(F9:O9)</f>
        <v>-190346.48539240772</v>
      </c>
      <c r="E9" s="71"/>
      <c r="F9" s="135">
        <f>-Персонал!F45</f>
        <v>0</v>
      </c>
      <c r="G9" s="135">
        <f>-Персонал!G45</f>
        <v>0</v>
      </c>
      <c r="H9" s="135">
        <f>-Персонал!H45</f>
        <v>-21662.741299200003</v>
      </c>
      <c r="I9" s="135">
        <f>-Персонал!I45</f>
        <v>-22247.635314278399</v>
      </c>
      <c r="J9" s="135">
        <f>-Персонал!J45</f>
        <v>-22848.321467763915</v>
      </c>
      <c r="K9" s="135">
        <f>-Персонал!K45</f>
        <v>-23465.226147393536</v>
      </c>
      <c r="L9" s="135">
        <f>-Персонал!L45</f>
        <v>-24075.322027225768</v>
      </c>
      <c r="M9" s="135">
        <f>-Персонал!M45</f>
        <v>-24701.280399933643</v>
      </c>
      <c r="N9" s="135">
        <f>-Персонал!N45</f>
        <v>-25343.513690331918</v>
      </c>
      <c r="O9" s="135">
        <f>-Персонал!O45</f>
        <v>-26002.445046280547</v>
      </c>
      <c r="P9" s="714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226" t="str" cm="1">
        <f t="array" aca="1" ref="A10" ca="1">HYPERLINK(CELL("адрес",Инвестиции!A16),"источник")</f>
        <v>источник</v>
      </c>
      <c r="B10" s="744" t="s">
        <v>352</v>
      </c>
      <c r="C10" s="270" t="s">
        <v>19</v>
      </c>
      <c r="D10" s="409">
        <f>SUM(F10:O10)</f>
        <v>-58499.238095238084</v>
      </c>
      <c r="E10" s="71"/>
      <c r="F10" s="135">
        <f>-Инвестиции!F16</f>
        <v>0</v>
      </c>
      <c r="G10" s="135">
        <f>-Инвестиции!G16</f>
        <v>0</v>
      </c>
      <c r="H10" s="135">
        <f>-Инвестиции!H16</f>
        <v>-12476.190476190475</v>
      </c>
      <c r="I10" s="135">
        <f>-Инвестиции!I16</f>
        <v>-12476.190476190475</v>
      </c>
      <c r="J10" s="135">
        <f>-Инвестиции!J16</f>
        <v>-11642.523809523809</v>
      </c>
      <c r="K10" s="135">
        <f>-Инвестиции!K16</f>
        <v>-7237.6666666666661</v>
      </c>
      <c r="L10" s="135">
        <f>-Инвестиции!L16</f>
        <v>-3666.6666666666661</v>
      </c>
      <c r="M10" s="135">
        <f>-Инвестиции!M16</f>
        <v>-3666.6666666666661</v>
      </c>
      <c r="N10" s="135">
        <f>-Инвестиции!N16</f>
        <v>-3666.6666666666661</v>
      </c>
      <c r="O10" s="135">
        <f>-Инвестиции!O16</f>
        <v>-3666.6666666666661</v>
      </c>
      <c r="P10" s="714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393" t="str" cm="1">
        <f t="array" aca="1" ref="A11" ca="1">HYPERLINK(CELL("адрес",ОбщПрРасходы!A5),"источник")</f>
        <v>источник</v>
      </c>
      <c r="B11" s="744" t="s">
        <v>99</v>
      </c>
      <c r="C11" s="270" t="s">
        <v>19</v>
      </c>
      <c r="D11" s="409">
        <f>SUM(F11:O11)</f>
        <v>-3000</v>
      </c>
      <c r="E11" s="71"/>
      <c r="F11" s="135">
        <f>-ОбщПрРасходы!F5</f>
        <v>-300</v>
      </c>
      <c r="G11" s="135">
        <f>-ОбщПрРасходы!G5</f>
        <v>-300</v>
      </c>
      <c r="H11" s="135">
        <f>-ОбщПрРасходы!H5</f>
        <v>-300</v>
      </c>
      <c r="I11" s="135">
        <f>-ОбщПрРасходы!I5</f>
        <v>-300</v>
      </c>
      <c r="J11" s="135">
        <f>-ОбщПрРасходы!J5</f>
        <v>-300</v>
      </c>
      <c r="K11" s="135">
        <f>-ОбщПрРасходы!K5</f>
        <v>-300</v>
      </c>
      <c r="L11" s="135">
        <f>-ОбщПрРасходы!L5</f>
        <v>-300</v>
      </c>
      <c r="M11" s="135">
        <f>-ОбщПрРасходы!M5</f>
        <v>-300</v>
      </c>
      <c r="N11" s="135">
        <f>-ОбщПрРасходы!N5</f>
        <v>-300</v>
      </c>
      <c r="O11" s="135">
        <f>-ОбщПрРасходы!O5</f>
        <v>-300</v>
      </c>
      <c r="P11" s="714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15.75" thickBot="1" x14ac:dyDescent="0.3">
      <c r="A12" s="149"/>
      <c r="B12" s="396" t="s">
        <v>87</v>
      </c>
      <c r="C12" s="270" t="s">
        <v>19</v>
      </c>
      <c r="D12" s="387">
        <f>D5+D6</f>
        <v>509359.97110213357</v>
      </c>
      <c r="E12" s="71"/>
      <c r="F12" s="387">
        <f t="shared" ref="F12:O12" si="3">F5+F6</f>
        <v>-4985</v>
      </c>
      <c r="G12" s="387">
        <f t="shared" si="3"/>
        <v>-5181.8</v>
      </c>
      <c r="H12" s="387">
        <f t="shared" si="3"/>
        <v>-6765.9580253904787</v>
      </c>
      <c r="I12" s="387">
        <f t="shared" si="3"/>
        <v>58666.151322031132</v>
      </c>
      <c r="J12" s="387">
        <f t="shared" si="3"/>
        <v>62748.052039024791</v>
      </c>
      <c r="K12" s="387">
        <f t="shared" si="3"/>
        <v>70541.414542200131</v>
      </c>
      <c r="L12" s="387">
        <f t="shared" si="3"/>
        <v>77741.508458247787</v>
      </c>
      <c r="M12" s="387">
        <f t="shared" si="3"/>
        <v>81526.968735779461</v>
      </c>
      <c r="N12" s="387">
        <f t="shared" si="3"/>
        <v>85475.312023092614</v>
      </c>
      <c r="O12" s="387">
        <f t="shared" si="3"/>
        <v>89593.322007148134</v>
      </c>
      <c r="P12" s="24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149"/>
      <c r="B13" s="397" t="s">
        <v>88</v>
      </c>
      <c r="C13" s="406" t="s">
        <v>27</v>
      </c>
      <c r="D13" s="410">
        <f>IFERROR(D12/D5,"-")</f>
        <v>0.54783228833201858</v>
      </c>
      <c r="E13" s="71"/>
      <c r="F13" s="388" t="str">
        <f>IFERROR(F12/F5,"-")</f>
        <v>-</v>
      </c>
      <c r="G13" s="388" t="str">
        <f t="shared" ref="G13:O13" si="4">IFERROR(G12/G5,"-")</f>
        <v>-</v>
      </c>
      <c r="H13" s="388">
        <f t="shared" si="4"/>
        <v>-0.17560233650118034</v>
      </c>
      <c r="I13" s="388">
        <f t="shared" si="4"/>
        <v>0.51990563029095294</v>
      </c>
      <c r="J13" s="388">
        <f t="shared" si="4"/>
        <v>0.53469217850176542</v>
      </c>
      <c r="K13" s="388">
        <f t="shared" si="4"/>
        <v>0.57798212593098086</v>
      </c>
      <c r="L13" s="388">
        <f t="shared" si="4"/>
        <v>0.61247711748463673</v>
      </c>
      <c r="M13" s="388">
        <f t="shared" si="4"/>
        <v>0.6175965487175975</v>
      </c>
      <c r="N13" s="388">
        <f t="shared" si="4"/>
        <v>0.6226025869416284</v>
      </c>
      <c r="O13" s="388">
        <f t="shared" si="4"/>
        <v>0.62749826117216867</v>
      </c>
      <c r="P13" s="715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28.5" x14ac:dyDescent="0.25">
      <c r="A14" s="149"/>
      <c r="B14" s="398" t="s">
        <v>153</v>
      </c>
      <c r="C14" s="270" t="s">
        <v>19</v>
      </c>
      <c r="D14" s="385">
        <f>SUM(F14:O14)</f>
        <v>-93428.051546583476</v>
      </c>
      <c r="E14" s="71"/>
      <c r="F14" s="411">
        <f t="shared" ref="F14:O14" si="5">SUM(F15:F16)</f>
        <v>-3248.88</v>
      </c>
      <c r="G14" s="411">
        <f t="shared" si="5"/>
        <v>-3323.2531199999999</v>
      </c>
      <c r="H14" s="411">
        <f t="shared" si="5"/>
        <v>-9898.2335846400001</v>
      </c>
      <c r="I14" s="411">
        <f t="shared" si="5"/>
        <v>-10161.435891425279</v>
      </c>
      <c r="J14" s="411">
        <f t="shared" si="5"/>
        <v>-10431.744660493761</v>
      </c>
      <c r="K14" s="411">
        <f t="shared" si="5"/>
        <v>-10709.351766327094</v>
      </c>
      <c r="L14" s="411">
        <f t="shared" si="5"/>
        <v>-10983.894912251597</v>
      </c>
      <c r="M14" s="411">
        <f t="shared" si="5"/>
        <v>-11265.576179970139</v>
      </c>
      <c r="N14" s="411">
        <f t="shared" si="5"/>
        <v>-11554.581160649363</v>
      </c>
      <c r="O14" s="411">
        <f t="shared" si="5"/>
        <v>-11851.100270826244</v>
      </c>
      <c r="P14" s="385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30" x14ac:dyDescent="0.25">
      <c r="A15" s="226" t="str" cm="1">
        <f t="array" aca="1" ref="A15" ca="1">HYPERLINK(CELL("адрес",Персонал!A46),"источник")</f>
        <v>источник</v>
      </c>
      <c r="B15" s="395" t="s">
        <v>155</v>
      </c>
      <c r="C15" s="270" t="s">
        <v>19</v>
      </c>
      <c r="D15" s="409">
        <f>SUM(F15:O15)</f>
        <v>-91928.051546583476</v>
      </c>
      <c r="E15" s="71"/>
      <c r="F15" s="135">
        <f>-Персонал!F46</f>
        <v>-3098.88</v>
      </c>
      <c r="G15" s="135">
        <f>-Персонал!G46</f>
        <v>-3173.2531199999999</v>
      </c>
      <c r="H15" s="135">
        <f>-Персонал!H46</f>
        <v>-9748.2335846400001</v>
      </c>
      <c r="I15" s="135">
        <f>-Персонал!I46</f>
        <v>-10011.435891425279</v>
      </c>
      <c r="J15" s="135">
        <f>-Персонал!J46</f>
        <v>-10281.744660493761</v>
      </c>
      <c r="K15" s="135">
        <f>-Персонал!K46</f>
        <v>-10559.351766327094</v>
      </c>
      <c r="L15" s="135">
        <f>-Персонал!L46</f>
        <v>-10833.894912251597</v>
      </c>
      <c r="M15" s="135">
        <f>-Персонал!M46</f>
        <v>-11115.576179970139</v>
      </c>
      <c r="N15" s="135">
        <f>-Персонал!N46</f>
        <v>-11404.581160649363</v>
      </c>
      <c r="O15" s="135">
        <f>-Персонал!O46</f>
        <v>-11701.100270826244</v>
      </c>
      <c r="P15" s="714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30" x14ac:dyDescent="0.25">
      <c r="A16" s="226" t="str" cm="1">
        <f t="array" aca="1" ref="A16" ca="1">HYPERLINK(CELL("адрес",АдмРасходы!A5),"источник")</f>
        <v>источник</v>
      </c>
      <c r="B16" s="395" t="s">
        <v>154</v>
      </c>
      <c r="C16" s="270" t="s">
        <v>19</v>
      </c>
      <c r="D16" s="409">
        <f>SUM(F16:O16)</f>
        <v>-1500</v>
      </c>
      <c r="E16" s="71"/>
      <c r="F16" s="135">
        <f>-АдмРасходы!F5</f>
        <v>-150</v>
      </c>
      <c r="G16" s="135">
        <f>-АдмРасходы!G5</f>
        <v>-150</v>
      </c>
      <c r="H16" s="135">
        <f>-АдмРасходы!H5</f>
        <v>-150</v>
      </c>
      <c r="I16" s="135">
        <f>-АдмРасходы!I5</f>
        <v>-150</v>
      </c>
      <c r="J16" s="135">
        <f>-АдмРасходы!J5</f>
        <v>-150</v>
      </c>
      <c r="K16" s="135">
        <f>-АдмРасходы!K5</f>
        <v>-150</v>
      </c>
      <c r="L16" s="135">
        <f>-АдмРасходы!L5</f>
        <v>-150</v>
      </c>
      <c r="M16" s="135">
        <f>-АдмРасходы!M5</f>
        <v>-150</v>
      </c>
      <c r="N16" s="135">
        <f>-АдмРасходы!N5</f>
        <v>-150</v>
      </c>
      <c r="O16" s="135">
        <f>-АдмРасходы!O5</f>
        <v>-150</v>
      </c>
      <c r="P16" s="714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15.75" thickBot="1" x14ac:dyDescent="0.3">
      <c r="A17" s="149"/>
      <c r="B17" s="396" t="s">
        <v>89</v>
      </c>
      <c r="C17" s="270" t="s">
        <v>19</v>
      </c>
      <c r="D17" s="387">
        <f>D12+D14</f>
        <v>415931.91955555009</v>
      </c>
      <c r="E17" s="71"/>
      <c r="F17" s="387">
        <f t="shared" ref="F17:O17" si="6">F12+F14</f>
        <v>-8233.880000000001</v>
      </c>
      <c r="G17" s="387">
        <f t="shared" si="6"/>
        <v>-8505.0531200000005</v>
      </c>
      <c r="H17" s="387">
        <f t="shared" si="6"/>
        <v>-16664.191610030481</v>
      </c>
      <c r="I17" s="387">
        <f t="shared" si="6"/>
        <v>48504.715430605851</v>
      </c>
      <c r="J17" s="387">
        <f t="shared" si="6"/>
        <v>52316.307378531026</v>
      </c>
      <c r="K17" s="387">
        <f t="shared" si="6"/>
        <v>59832.062775873041</v>
      </c>
      <c r="L17" s="387">
        <f t="shared" si="6"/>
        <v>66757.613545996195</v>
      </c>
      <c r="M17" s="387">
        <f t="shared" si="6"/>
        <v>70261.392555809318</v>
      </c>
      <c r="N17" s="387">
        <f t="shared" si="6"/>
        <v>73920.730862443248</v>
      </c>
      <c r="O17" s="387">
        <f t="shared" si="6"/>
        <v>77742.221736321895</v>
      </c>
      <c r="P17" s="246"/>
      <c r="Q17" s="159"/>
    </row>
    <row r="18" spans="1:17" x14ac:dyDescent="0.25">
      <c r="A18" s="149"/>
      <c r="B18" s="399" t="s">
        <v>90</v>
      </c>
      <c r="C18" s="406" t="s">
        <v>27</v>
      </c>
      <c r="D18" s="410">
        <f>IFERROR(D17/D5,"-")</f>
        <v>0.44734755027453238</v>
      </c>
      <c r="E18" s="71"/>
      <c r="F18" s="388" t="str">
        <f t="shared" ref="F18:O18" si="7">IFERROR(F17/F5,"-")</f>
        <v>-</v>
      </c>
      <c r="G18" s="388" t="str">
        <f t="shared" si="7"/>
        <v>-</v>
      </c>
      <c r="H18" s="388">
        <f t="shared" si="7"/>
        <v>-0.43249913340333457</v>
      </c>
      <c r="I18" s="388">
        <f t="shared" si="7"/>
        <v>0.42985391200466017</v>
      </c>
      <c r="J18" s="388">
        <f t="shared" si="7"/>
        <v>0.44580061777850033</v>
      </c>
      <c r="K18" s="388">
        <f t="shared" si="7"/>
        <v>0.49023489345180382</v>
      </c>
      <c r="L18" s="388">
        <f t="shared" si="7"/>
        <v>0.52594182343097096</v>
      </c>
      <c r="M18" s="388">
        <f t="shared" si="7"/>
        <v>0.53225569677676865</v>
      </c>
      <c r="N18" s="388">
        <f t="shared" si="7"/>
        <v>0.53843896178043871</v>
      </c>
      <c r="O18" s="388">
        <f t="shared" si="7"/>
        <v>0.54449492290631929</v>
      </c>
      <c r="P18" s="715"/>
      <c r="Q18" s="159"/>
    </row>
    <row r="19" spans="1:17" x14ac:dyDescent="0.25">
      <c r="A19" s="149"/>
      <c r="B19" s="91" t="s">
        <v>93</v>
      </c>
      <c r="C19" s="270" t="s">
        <v>19</v>
      </c>
      <c r="D19" s="411">
        <f t="shared" ref="D19:D24" si="8">SUM(F19:O19)</f>
        <v>0</v>
      </c>
      <c r="E19" s="7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390"/>
      <c r="Q19" s="159"/>
    </row>
    <row r="20" spans="1:17" x14ac:dyDescent="0.25">
      <c r="A20" s="226" t="str" cm="1">
        <f t="array" aca="1" ref="A20" ca="1">HYPERLINK(CELL("адрес",Финансы!A25),"источник")</f>
        <v>источник</v>
      </c>
      <c r="B20" s="91" t="s">
        <v>94</v>
      </c>
      <c r="C20" s="270" t="s">
        <v>19</v>
      </c>
      <c r="D20" s="411">
        <f t="shared" ca="1" si="8"/>
        <v>-51300</v>
      </c>
      <c r="E20" s="71"/>
      <c r="F20" s="231">
        <f ca="1">-Финансы!F25</f>
        <v>0</v>
      </c>
      <c r="G20" s="231">
        <f ca="1">-Финансы!G25</f>
        <v>-5700</v>
      </c>
      <c r="H20" s="231">
        <f ca="1">-Финансы!H25</f>
        <v>-10687.5</v>
      </c>
      <c r="I20" s="231">
        <f ca="1">-Финансы!I25</f>
        <v>-9262.5</v>
      </c>
      <c r="J20" s="231">
        <f ca="1">-Финансы!J25</f>
        <v>-7837.5</v>
      </c>
      <c r="K20" s="231">
        <f ca="1">-Финансы!K25</f>
        <v>-6412.5</v>
      </c>
      <c r="L20" s="231">
        <f ca="1">-Финансы!L25</f>
        <v>-4987.5</v>
      </c>
      <c r="M20" s="231">
        <f ca="1">-Финансы!M25</f>
        <v>-3562.5</v>
      </c>
      <c r="N20" s="231">
        <f ca="1">-Финансы!N25</f>
        <v>-2137.5</v>
      </c>
      <c r="O20" s="231">
        <f ca="1">-Финансы!O25</f>
        <v>-712.5</v>
      </c>
      <c r="P20" s="390"/>
      <c r="Q20" s="159"/>
    </row>
    <row r="21" spans="1:17" x14ac:dyDescent="0.25">
      <c r="A21" s="226" t="str" cm="1">
        <f t="array" aca="1" ref="A21" ca="1">HYPERLINK(CELL("адрес",ПрочДоходы!A5),"источник")</f>
        <v>источник</v>
      </c>
      <c r="B21" s="91" t="s">
        <v>91</v>
      </c>
      <c r="C21" s="270" t="s">
        <v>19</v>
      </c>
      <c r="D21" s="411">
        <f t="shared" si="8"/>
        <v>560</v>
      </c>
      <c r="E21" s="71"/>
      <c r="F21" s="231">
        <f>ПрочДоходы!F5</f>
        <v>0</v>
      </c>
      <c r="G21" s="231">
        <f>ПрочДоходы!G5</f>
        <v>0</v>
      </c>
      <c r="H21" s="231">
        <f>ПрочДоходы!H5</f>
        <v>70</v>
      </c>
      <c r="I21" s="231">
        <f>ПрочДоходы!I5</f>
        <v>70</v>
      </c>
      <c r="J21" s="231">
        <f>ПрочДоходы!J5</f>
        <v>70</v>
      </c>
      <c r="K21" s="231">
        <f>ПрочДоходы!K5</f>
        <v>70</v>
      </c>
      <c r="L21" s="231">
        <f>ПрочДоходы!L5</f>
        <v>70</v>
      </c>
      <c r="M21" s="231">
        <f>ПрочДоходы!M5</f>
        <v>70</v>
      </c>
      <c r="N21" s="231">
        <f>ПрочДоходы!N5</f>
        <v>70</v>
      </c>
      <c r="O21" s="231">
        <f>ПрочДоходы!O5</f>
        <v>70</v>
      </c>
      <c r="P21" s="390"/>
      <c r="Q21" s="159"/>
    </row>
    <row r="22" spans="1:17" x14ac:dyDescent="0.25">
      <c r="A22" s="226" t="str" cm="1">
        <f t="array" aca="1" ref="A22" ca="1">HYPERLINK(CELL("адрес",ПрочРасходы!A5),"источник")</f>
        <v>источник</v>
      </c>
      <c r="B22" s="91" t="s">
        <v>92</v>
      </c>
      <c r="C22" s="270" t="s">
        <v>19</v>
      </c>
      <c r="D22" s="411">
        <f t="shared" si="8"/>
        <v>-200</v>
      </c>
      <c r="E22" s="71"/>
      <c r="F22" s="231">
        <f>-ПрочРасходы!F5</f>
        <v>-20</v>
      </c>
      <c r="G22" s="231">
        <f>-ПрочРасходы!G5</f>
        <v>-20</v>
      </c>
      <c r="H22" s="231">
        <f>-ПрочРасходы!H5</f>
        <v>-20</v>
      </c>
      <c r="I22" s="231">
        <f>-ПрочРасходы!I5</f>
        <v>-20</v>
      </c>
      <c r="J22" s="231">
        <f>-ПрочРасходы!J5</f>
        <v>-20</v>
      </c>
      <c r="K22" s="231">
        <f>-ПрочРасходы!K5</f>
        <v>-20</v>
      </c>
      <c r="L22" s="231">
        <f>-ПрочРасходы!L5</f>
        <v>-20</v>
      </c>
      <c r="M22" s="231">
        <f>-ПрочРасходы!M5</f>
        <v>-20</v>
      </c>
      <c r="N22" s="231">
        <f>-ПрочРасходы!N5</f>
        <v>-20</v>
      </c>
      <c r="O22" s="231">
        <f>-ПрочРасходы!O5</f>
        <v>-20</v>
      </c>
      <c r="P22" s="390"/>
      <c r="Q22" s="159"/>
    </row>
    <row r="23" spans="1:17" x14ac:dyDescent="0.25">
      <c r="A23" s="226" t="str" cm="1">
        <f t="array" aca="1" ref="A23" ca="1">HYPERLINK(CELL("адрес",НалЗемля!A15),"источник")</f>
        <v>источник</v>
      </c>
      <c r="B23" s="400" t="s">
        <v>362</v>
      </c>
      <c r="C23" s="270" t="s">
        <v>19</v>
      </c>
      <c r="D23" s="411">
        <f t="shared" si="8"/>
        <v>0</v>
      </c>
      <c r="E23" s="71"/>
      <c r="F23" s="389">
        <f>-НалЗемля!F15</f>
        <v>0</v>
      </c>
      <c r="G23" s="389">
        <f>-НалЗемля!G15</f>
        <v>0</v>
      </c>
      <c r="H23" s="389">
        <f>-НалЗемля!H15</f>
        <v>0</v>
      </c>
      <c r="I23" s="389">
        <f>-НалЗемля!I15</f>
        <v>0</v>
      </c>
      <c r="J23" s="389">
        <f>-НалЗемля!J15</f>
        <v>0</v>
      </c>
      <c r="K23" s="389">
        <f>-НалЗемля!K15</f>
        <v>0</v>
      </c>
      <c r="L23" s="389">
        <f>-НалЗемля!L15</f>
        <v>0</v>
      </c>
      <c r="M23" s="389">
        <f>-НалЗемля!M15</f>
        <v>0</v>
      </c>
      <c r="N23" s="389">
        <f>-НалЗемля!N15</f>
        <v>0</v>
      </c>
      <c r="O23" s="389">
        <f>-НалЗемля!O15</f>
        <v>0</v>
      </c>
      <c r="P23" s="390"/>
      <c r="Q23" s="159"/>
    </row>
    <row r="24" spans="1:17" x14ac:dyDescent="0.25">
      <c r="A24" s="226" t="str" cm="1">
        <f t="array" aca="1" ref="A24" ca="1">HYPERLINK(CELL("адрес",НалИмущество!A19),"источник")</f>
        <v>источник</v>
      </c>
      <c r="B24" s="400" t="s">
        <v>360</v>
      </c>
      <c r="C24" s="270" t="s">
        <v>19</v>
      </c>
      <c r="D24" s="411">
        <f t="shared" si="8"/>
        <v>0</v>
      </c>
      <c r="E24" s="71"/>
      <c r="F24" s="389">
        <f>-НалИмущество!F19</f>
        <v>0</v>
      </c>
      <c r="G24" s="389">
        <f>-НалИмущество!G19</f>
        <v>0</v>
      </c>
      <c r="H24" s="389">
        <f>-НалИмущество!H19</f>
        <v>0</v>
      </c>
      <c r="I24" s="389">
        <f>-НалИмущество!I19</f>
        <v>0</v>
      </c>
      <c r="J24" s="389">
        <f>-НалИмущество!J19</f>
        <v>0</v>
      </c>
      <c r="K24" s="389">
        <f>-НалИмущество!K19</f>
        <v>0</v>
      </c>
      <c r="L24" s="389">
        <f>-НалИмущество!L19</f>
        <v>0</v>
      </c>
      <c r="M24" s="389">
        <f>-НалИмущество!M19</f>
        <v>0</v>
      </c>
      <c r="N24" s="389">
        <f>-НалИмущество!N19</f>
        <v>0</v>
      </c>
      <c r="O24" s="389">
        <f>-НалИмущество!O19</f>
        <v>0</v>
      </c>
      <c r="P24" s="390"/>
      <c r="Q24" s="159"/>
    </row>
    <row r="25" spans="1:17" ht="29.25" thickBot="1" x14ac:dyDescent="0.3">
      <c r="A25" s="149"/>
      <c r="B25" s="396" t="s">
        <v>95</v>
      </c>
      <c r="C25" s="270" t="s">
        <v>19</v>
      </c>
      <c r="D25" s="387">
        <f ca="1">D17+SUM(D19:D24)</f>
        <v>364991.91955555009</v>
      </c>
      <c r="E25" s="71"/>
      <c r="F25" s="387">
        <f ca="1">F17+SUM(F19:F24)</f>
        <v>-8253.880000000001</v>
      </c>
      <c r="G25" s="387">
        <f t="shared" ref="G25:O25" ca="1" si="9">G17+SUM(G19:G24)</f>
        <v>-14225.05312</v>
      </c>
      <c r="H25" s="387">
        <f t="shared" ca="1" si="9"/>
        <v>-27301.691610030481</v>
      </c>
      <c r="I25" s="387">
        <f t="shared" ca="1" si="9"/>
        <v>39292.215430605851</v>
      </c>
      <c r="J25" s="387">
        <f t="shared" ca="1" si="9"/>
        <v>44528.807378531026</v>
      </c>
      <c r="K25" s="387">
        <f t="shared" ca="1" si="9"/>
        <v>53469.562775873041</v>
      </c>
      <c r="L25" s="387">
        <f t="shared" ca="1" si="9"/>
        <v>61820.113545996195</v>
      </c>
      <c r="M25" s="387">
        <f t="shared" ca="1" si="9"/>
        <v>66748.892555809318</v>
      </c>
      <c r="N25" s="387">
        <f t="shared" ca="1" si="9"/>
        <v>71833.230862443248</v>
      </c>
      <c r="O25" s="387">
        <f t="shared" ca="1" si="9"/>
        <v>77079.721736321895</v>
      </c>
      <c r="P25" s="246"/>
      <c r="Q25" s="159"/>
    </row>
    <row r="26" spans="1:17" ht="30" x14ac:dyDescent="0.25">
      <c r="A26" s="149"/>
      <c r="B26" s="399" t="s">
        <v>96</v>
      </c>
      <c r="C26" s="406" t="s">
        <v>27</v>
      </c>
      <c r="D26" s="410">
        <f ca="1">IFERROR(D25/D5,"-")</f>
        <v>0.39256001621046011</v>
      </c>
      <c r="E26" s="71"/>
      <c r="F26" s="388" t="str">
        <f t="shared" ref="F26:O26" ca="1" si="10">IFERROR(F25/F5,"-")</f>
        <v>-</v>
      </c>
      <c r="G26" s="388" t="str">
        <f t="shared" ca="1" si="10"/>
        <v>-</v>
      </c>
      <c r="H26" s="388">
        <f t="shared" ca="1" si="10"/>
        <v>-0.70858270464652173</v>
      </c>
      <c r="I26" s="388">
        <f t="shared" ca="1" si="10"/>
        <v>0.34821176383025393</v>
      </c>
      <c r="J26" s="388">
        <f t="shared" ca="1" si="10"/>
        <v>0.37944134119900047</v>
      </c>
      <c r="K26" s="388">
        <f t="shared" ca="1" si="10"/>
        <v>0.43810365536845181</v>
      </c>
      <c r="L26" s="388">
        <f t="shared" ca="1" si="10"/>
        <v>0.48704232395438779</v>
      </c>
      <c r="M26" s="388">
        <f t="shared" ca="1" si="10"/>
        <v>0.50564722707637955</v>
      </c>
      <c r="N26" s="388">
        <f t="shared" ca="1" si="10"/>
        <v>0.52323360166558441</v>
      </c>
      <c r="O26" s="388">
        <f t="shared" ca="1" si="10"/>
        <v>0.53985487174275837</v>
      </c>
      <c r="P26" s="715"/>
      <c r="Q26" s="159"/>
    </row>
    <row r="27" spans="1:17" x14ac:dyDescent="0.25">
      <c r="A27" s="393" t="str" cm="1">
        <f t="array" aca="1" ref="A27" ca="1">HYPERLINK(CELL("адрес",НалПрибыль!A27),"источник")</f>
        <v>источник</v>
      </c>
      <c r="B27" s="91" t="s">
        <v>361</v>
      </c>
      <c r="C27" s="270" t="s">
        <v>19</v>
      </c>
      <c r="D27" s="411">
        <f ca="1">SUM(F27:O27)</f>
        <v>-14745.486021049259</v>
      </c>
      <c r="E27" s="71"/>
      <c r="F27" s="231">
        <f ca="1">-НалПрибыль!F27</f>
        <v>165.07760000000002</v>
      </c>
      <c r="G27" s="231">
        <f ca="1">-НалПрибыль!G27</f>
        <v>284.50106240000002</v>
      </c>
      <c r="H27" s="231">
        <f ca="1">-НалПрибыль!H27</f>
        <v>546.0338322006096</v>
      </c>
      <c r="I27" s="231">
        <f ca="1">-НалПрибыль!I27</f>
        <v>-785.84430861211706</v>
      </c>
      <c r="J27" s="231">
        <f ca="1">-НалПрибыль!J27</f>
        <v>-890.57614757062049</v>
      </c>
      <c r="K27" s="231">
        <f ca="1">-НалПрибыль!K27</f>
        <v>-1069.3912555174609</v>
      </c>
      <c r="L27" s="231">
        <f ca="1">-НалПрибыль!L27</f>
        <v>-1236.4022709199239</v>
      </c>
      <c r="M27" s="231">
        <f ca="1">-НалПрибыль!M27</f>
        <v>-1334.9778511161865</v>
      </c>
      <c r="N27" s="231">
        <f ca="1">-НалПрибыль!N27</f>
        <v>-5028.3261603710271</v>
      </c>
      <c r="O27" s="231">
        <f ca="1">-НалПрибыль!O27</f>
        <v>-5395.5805215425326</v>
      </c>
      <c r="P27" s="390"/>
      <c r="Q27" s="159"/>
    </row>
    <row r="28" spans="1:17" ht="15.75" thickBot="1" x14ac:dyDescent="0.3">
      <c r="A28" s="149"/>
      <c r="B28" s="396" t="s">
        <v>100</v>
      </c>
      <c r="C28" s="270" t="s">
        <v>19</v>
      </c>
      <c r="D28" s="387">
        <f ca="1">D25+D27</f>
        <v>350246.43353450083</v>
      </c>
      <c r="E28" s="71"/>
      <c r="F28" s="387">
        <f ca="1">F25+F27</f>
        <v>-8088.8024000000014</v>
      </c>
      <c r="G28" s="387">
        <f t="shared" ref="G28:O28" ca="1" si="11">G25+G27</f>
        <v>-13940.5520576</v>
      </c>
      <c r="H28" s="387">
        <f t="shared" ca="1" si="11"/>
        <v>-26755.657777829871</v>
      </c>
      <c r="I28" s="387">
        <f t="shared" ca="1" si="11"/>
        <v>38506.371121993732</v>
      </c>
      <c r="J28" s="387">
        <f t="shared" ca="1" si="11"/>
        <v>43638.231230960402</v>
      </c>
      <c r="K28" s="387">
        <f t="shared" ca="1" si="11"/>
        <v>52400.17152035558</v>
      </c>
      <c r="L28" s="387">
        <f t="shared" ca="1" si="11"/>
        <v>60583.711275076268</v>
      </c>
      <c r="M28" s="387">
        <f t="shared" ca="1" si="11"/>
        <v>65413.914704693132</v>
      </c>
      <c r="N28" s="387">
        <f t="shared" ca="1" si="11"/>
        <v>66804.904702072221</v>
      </c>
      <c r="O28" s="387">
        <f t="shared" ca="1" si="11"/>
        <v>71684.14121477936</v>
      </c>
      <c r="P28" s="246"/>
      <c r="Q28" s="159"/>
    </row>
    <row r="29" spans="1:17" x14ac:dyDescent="0.25">
      <c r="A29" s="149"/>
      <c r="B29" s="399" t="s">
        <v>98</v>
      </c>
      <c r="C29" s="406" t="s">
        <v>27</v>
      </c>
      <c r="D29" s="410">
        <f ca="1">IFERROR(D28/D5,"-")</f>
        <v>0.3767007932487495</v>
      </c>
      <c r="E29" s="71"/>
      <c r="F29" s="388" t="str">
        <f ca="1">IFERROR(F28/F5,"-")</f>
        <v>-</v>
      </c>
      <c r="G29" s="388" t="str">
        <f t="shared" ref="G29:O29" ca="1" si="12">IFERROR(G28/G5,"-")</f>
        <v>-</v>
      </c>
      <c r="H29" s="388">
        <f t="shared" ca="1" si="12"/>
        <v>-0.6944110505535912</v>
      </c>
      <c r="I29" s="388">
        <f t="shared" ca="1" si="12"/>
        <v>0.34124752855364882</v>
      </c>
      <c r="J29" s="388">
        <f t="shared" ca="1" si="12"/>
        <v>0.37185251437502043</v>
      </c>
      <c r="K29" s="388">
        <f t="shared" ca="1" si="12"/>
        <v>0.42934158226108277</v>
      </c>
      <c r="L29" s="388">
        <f t="shared" ca="1" si="12"/>
        <v>0.4773014774753</v>
      </c>
      <c r="M29" s="388">
        <f t="shared" ca="1" si="12"/>
        <v>0.49553428253485199</v>
      </c>
      <c r="N29" s="388">
        <f t="shared" ca="1" si="12"/>
        <v>0.48660724954899354</v>
      </c>
      <c r="O29" s="388">
        <f t="shared" ca="1" si="12"/>
        <v>0.50206503072076525</v>
      </c>
      <c r="P29" s="715"/>
      <c r="Q29" s="159"/>
    </row>
    <row r="30" spans="1:17" x14ac:dyDescent="0.25">
      <c r="A30" s="149"/>
      <c r="B30" s="149"/>
      <c r="C30" s="407"/>
      <c r="D30" s="412"/>
      <c r="E30" s="71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71"/>
      <c r="Q30" s="159"/>
    </row>
    <row r="31" spans="1:17" ht="15.75" thickBot="1" x14ac:dyDescent="0.3">
      <c r="A31" s="149"/>
      <c r="B31" s="396" t="s">
        <v>102</v>
      </c>
      <c r="C31" s="270" t="s">
        <v>19</v>
      </c>
      <c r="D31" s="387">
        <f ca="1">D25-D10-D19-D20</f>
        <v>474791.1576507882</v>
      </c>
      <c r="E31" s="71"/>
      <c r="F31" s="387">
        <f t="shared" ref="F31:O31" ca="1" si="13">F25-F10-F19-F20</f>
        <v>-8253.880000000001</v>
      </c>
      <c r="G31" s="387">
        <f t="shared" ca="1" si="13"/>
        <v>-8525.0531200000005</v>
      </c>
      <c r="H31" s="387">
        <f t="shared" ca="1" si="13"/>
        <v>-4138.0011338400054</v>
      </c>
      <c r="I31" s="387">
        <f t="shared" ca="1" si="13"/>
        <v>61030.905906796324</v>
      </c>
      <c r="J31" s="387">
        <f t="shared" ca="1" si="13"/>
        <v>64008.831188054835</v>
      </c>
      <c r="K31" s="387">
        <f t="shared" ca="1" si="13"/>
        <v>67119.729442539712</v>
      </c>
      <c r="L31" s="387">
        <f t="shared" ca="1" si="13"/>
        <v>70474.280212662852</v>
      </c>
      <c r="M31" s="387">
        <f t="shared" ca="1" si="13"/>
        <v>73978.059222475989</v>
      </c>
      <c r="N31" s="387">
        <f t="shared" ca="1" si="13"/>
        <v>77637.39752910992</v>
      </c>
      <c r="O31" s="387">
        <f t="shared" ca="1" si="13"/>
        <v>81458.888402988567</v>
      </c>
      <c r="P31" s="246"/>
      <c r="Q31" s="159"/>
    </row>
    <row r="32" spans="1:17" x14ac:dyDescent="0.25">
      <c r="A32" s="149"/>
      <c r="B32" s="399" t="s">
        <v>103</v>
      </c>
      <c r="C32" s="406" t="s">
        <v>27</v>
      </c>
      <c r="D32" s="410">
        <f ca="1">IFERROR(D31/D5,"-")</f>
        <v>0.51065246806267928</v>
      </c>
      <c r="E32" s="71"/>
      <c r="F32" s="388" t="str">
        <f t="shared" ref="F32:O32" ca="1" si="14">IFERROR(F31/F5,"-")</f>
        <v>-</v>
      </c>
      <c r="G32" s="388" t="str">
        <f t="shared" ca="1" si="14"/>
        <v>-</v>
      </c>
      <c r="H32" s="388">
        <f t="shared" ca="1" si="14"/>
        <v>-0.10739686306358695</v>
      </c>
      <c r="I32" s="388">
        <f t="shared" ca="1" si="14"/>
        <v>0.54086233522506488</v>
      </c>
      <c r="J32" s="388">
        <f t="shared" ca="1" si="14"/>
        <v>0.5454355996582535</v>
      </c>
      <c r="K32" s="388">
        <f t="shared" ca="1" si="14"/>
        <v>0.54994649833543585</v>
      </c>
      <c r="L32" s="388">
        <f t="shared" ca="1" si="14"/>
        <v>0.55522313442937776</v>
      </c>
      <c r="M32" s="388">
        <f t="shared" ca="1" si="14"/>
        <v>0.56041080350600614</v>
      </c>
      <c r="N32" s="388">
        <f t="shared" ca="1" si="14"/>
        <v>0.56551117978932075</v>
      </c>
      <c r="O32" s="388">
        <f t="shared" ca="1" si="14"/>
        <v>0.5705259017610137</v>
      </c>
      <c r="P32" s="715"/>
      <c r="Q32" s="159"/>
    </row>
    <row r="33" spans="1:17" x14ac:dyDescent="0.25">
      <c r="A33" s="149"/>
      <c r="B33" s="149"/>
      <c r="C33" s="407"/>
      <c r="D33" s="412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71"/>
      <c r="Q33" s="159"/>
    </row>
    <row r="34" spans="1:17" x14ac:dyDescent="0.25">
      <c r="A34" s="149"/>
      <c r="B34" s="71"/>
      <c r="C34" s="407"/>
      <c r="D34" s="412"/>
      <c r="E34" s="71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71"/>
      <c r="Q34" s="159"/>
    </row>
    <row r="35" spans="1:17" ht="45" x14ac:dyDescent="0.25">
      <c r="A35" s="149"/>
      <c r="B35" s="91" t="s">
        <v>173</v>
      </c>
      <c r="C35" s="270"/>
      <c r="D35" s="411"/>
      <c r="E35" s="71"/>
      <c r="F35" s="231">
        <f ca="1">F28</f>
        <v>-8088.8024000000014</v>
      </c>
      <c r="G35" s="231">
        <f ca="1">F35+G28</f>
        <v>-22029.354457600002</v>
      </c>
      <c r="H35" s="231">
        <f t="shared" ref="H35:O35" ca="1" si="15">G35+H28</f>
        <v>-48785.012235429873</v>
      </c>
      <c r="I35" s="231">
        <f t="shared" ca="1" si="15"/>
        <v>-10278.641113436141</v>
      </c>
      <c r="J35" s="231">
        <f t="shared" ca="1" si="15"/>
        <v>33359.590117524262</v>
      </c>
      <c r="K35" s="231">
        <f t="shared" ca="1" si="15"/>
        <v>85759.761637879841</v>
      </c>
      <c r="L35" s="231">
        <f t="shared" ca="1" si="15"/>
        <v>146343.47291295612</v>
      </c>
      <c r="M35" s="231">
        <f t="shared" ca="1" si="15"/>
        <v>211757.38761764925</v>
      </c>
      <c r="N35" s="231">
        <f t="shared" ca="1" si="15"/>
        <v>278562.29231972148</v>
      </c>
      <c r="O35" s="231">
        <f t="shared" ca="1" si="15"/>
        <v>350246.43353450083</v>
      </c>
      <c r="P35" s="390"/>
      <c r="Q35" s="159"/>
    </row>
    <row r="36" spans="1:17" x14ac:dyDescent="0.25">
      <c r="A36" s="71"/>
      <c r="B36" s="71"/>
      <c r="C36" s="404"/>
      <c r="D36" s="124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59"/>
    </row>
    <row r="41" spans="1:17" x14ac:dyDescent="0.25">
      <c r="A41" s="71"/>
      <c r="B41" s="174" t="str" cm="1">
        <f t="array" aca="1" ref="B41" ca="1">HYPERLINK(CELL("адрес",БДДС!$A$1),"Перейти на лист БДДС")</f>
        <v>Перейти на лист БДДС</v>
      </c>
      <c r="C41" s="404"/>
      <c r="D41" s="124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1:17" x14ac:dyDescent="0.25">
      <c r="A42" s="71"/>
      <c r="B42" s="174" t="str" cm="1">
        <f t="array" aca="1" ref="B42" ca="1">HYPERLINK(CELL("адрес",Баланс!$A$1),"Перейти на лист Баланс")</f>
        <v>Перейти на лист Баланс</v>
      </c>
      <c r="C42" s="404"/>
      <c r="D42" s="124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1:17" x14ac:dyDescent="0.25">
      <c r="A43" s="71"/>
      <c r="B43" s="401" t="str" cm="1">
        <f t="array" aca="1" ref="B43" ca="1">HYPERLINK(CELL("адрес",Дашборд_ИтогТабл!$A$1),"Перейти на лист Дашборд_1")</f>
        <v>Перейти на лист Дашборд_1</v>
      </c>
      <c r="C43" s="404"/>
      <c r="D43" s="124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1:17" x14ac:dyDescent="0.25">
      <c r="A44" s="71"/>
      <c r="B44" s="401" t="str" cm="1">
        <f t="array" aca="1" ref="B44" ca="1">HYPERLINK(CELL("адрес",Дашборд_Основной!$A$1),"Перейти на лист Дашборд_Общий")</f>
        <v>Перейти на лист Дашборд_Общий</v>
      </c>
      <c r="C44" s="404"/>
      <c r="D44" s="124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1:17" x14ac:dyDescent="0.25">
      <c r="A45" s="71"/>
      <c r="B45" s="401" t="str" cm="1">
        <f t="array" aca="1" ref="B45" ca="1">HYPERLINK(CELL("адрес",Дашборд_налоги!$A$1),"Перейти на лист Дашборд_Налоги")</f>
        <v>Перейти на лист Дашборд_Налоги</v>
      </c>
      <c r="C45" s="404"/>
      <c r="D45" s="124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7" spans="1:17" x14ac:dyDescent="0.25">
      <c r="A47" s="71"/>
      <c r="B47" s="402" t="str">
        <f ca="1">CONCATENATE("БДР. Выручка: ",ROUND(D5,0)," ",C5,". Чистая прибыль: ",ROUND(D28,0)," ",C28)</f>
        <v>БДР. Выручка: 929774 тыс.руб.. Чистая прибыль: 350246 тыс.руб.</v>
      </c>
      <c r="C47" s="404"/>
      <c r="D47" s="124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1:17" x14ac:dyDescent="0.25">
      <c r="A48" s="71"/>
      <c r="B48" s="403" t="str">
        <f ca="1">CONCATENATE("БДР. Рентабельность продаж: ",ROUND(D18*100,0)," ",C18,". Рентабельность по чистой прибыли: ",ROUND(D29*100,0)," ",C29)</f>
        <v>БДР. Рентабельность продаж: 45 %. Рентабельность по чистой прибыли: 38 %</v>
      </c>
      <c r="C48" s="404"/>
      <c r="D48" s="124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51" spans="2:16" x14ac:dyDescent="0.25">
      <c r="B51" s="71" t="s">
        <v>338</v>
      </c>
      <c r="C51" s="404"/>
      <c r="D51" s="124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 s="6" customFormat="1" x14ac:dyDescent="0.25">
      <c r="B52" s="124" t="s">
        <v>339</v>
      </c>
      <c r="C52" s="408" t="s">
        <v>19</v>
      </c>
      <c r="D52" s="411">
        <f t="shared" ref="D52:D57" si="16">SUM(F52:O52)</f>
        <v>420413.57812217111</v>
      </c>
      <c r="E52" s="124"/>
      <c r="F52" s="246">
        <f>SUM(F53:F57)</f>
        <v>4985</v>
      </c>
      <c r="G52" s="246">
        <f t="shared" ref="G52:O52" si="17">SUM(G53:G57)</f>
        <v>5181.8</v>
      </c>
      <c r="H52" s="246">
        <f t="shared" si="17"/>
        <v>45295.958025390479</v>
      </c>
      <c r="I52" s="246">
        <f t="shared" si="17"/>
        <v>54173.848677968868</v>
      </c>
      <c r="J52" s="246">
        <f t="shared" si="17"/>
        <v>54605.547960975229</v>
      </c>
      <c r="K52" s="246">
        <f t="shared" si="17"/>
        <v>51506.329457799889</v>
      </c>
      <c r="L52" s="246">
        <f t="shared" si="17"/>
        <v>49188.145301752207</v>
      </c>
      <c r="M52" s="246">
        <f t="shared" si="17"/>
        <v>50479.871174620544</v>
      </c>
      <c r="N52" s="246">
        <f t="shared" si="17"/>
        <v>51811.801483723386</v>
      </c>
      <c r="O52" s="246">
        <f t="shared" si="17"/>
        <v>53185.276039940523</v>
      </c>
      <c r="P52" s="246"/>
    </row>
    <row r="53" spans="2:16" x14ac:dyDescent="0.25">
      <c r="B53" s="395" t="s">
        <v>340</v>
      </c>
      <c r="C53" s="405" t="s">
        <v>19</v>
      </c>
      <c r="D53" s="411">
        <f t="shared" si="16"/>
        <v>40828.286048632843</v>
      </c>
      <c r="E53" s="71"/>
      <c r="F53" s="390">
        <f t="shared" ref="F53:O53" si="18">-F7</f>
        <v>0</v>
      </c>
      <c r="G53" s="390">
        <f t="shared" si="18"/>
        <v>0</v>
      </c>
      <c r="H53" s="390">
        <f t="shared" si="18"/>
        <v>1400</v>
      </c>
      <c r="I53" s="390">
        <f t="shared" si="18"/>
        <v>4992.0000000000009</v>
      </c>
      <c r="J53" s="390">
        <f t="shared" si="18"/>
        <v>5191.6800000000012</v>
      </c>
      <c r="K53" s="390">
        <f t="shared" si="18"/>
        <v>5399.347200000002</v>
      </c>
      <c r="L53" s="390">
        <f t="shared" si="18"/>
        <v>5615.3210880000015</v>
      </c>
      <c r="M53" s="390">
        <f t="shared" si="18"/>
        <v>5839.9339315200014</v>
      </c>
      <c r="N53" s="390">
        <f t="shared" si="18"/>
        <v>6073.5312887808013</v>
      </c>
      <c r="O53" s="390">
        <f t="shared" si="18"/>
        <v>6316.4725403320344</v>
      </c>
      <c r="P53" s="390"/>
    </row>
    <row r="54" spans="2:16" x14ac:dyDescent="0.25">
      <c r="B54" s="395" t="s">
        <v>341</v>
      </c>
      <c r="C54" s="405" t="s">
        <v>19</v>
      </c>
      <c r="D54" s="411">
        <f t="shared" si="16"/>
        <v>127739.5685858925</v>
      </c>
      <c r="E54" s="71"/>
      <c r="F54" s="390">
        <f t="shared" ref="F54:O54" si="19">-F8</f>
        <v>4685</v>
      </c>
      <c r="G54" s="390">
        <f t="shared" si="19"/>
        <v>4881.8</v>
      </c>
      <c r="H54" s="390">
        <f t="shared" si="19"/>
        <v>9457.026249999999</v>
      </c>
      <c r="I54" s="390">
        <f t="shared" si="19"/>
        <v>14158.022887499999</v>
      </c>
      <c r="J54" s="390">
        <f t="shared" si="19"/>
        <v>14623.022683687499</v>
      </c>
      <c r="K54" s="390">
        <f t="shared" si="19"/>
        <v>15104.089443739686</v>
      </c>
      <c r="L54" s="390">
        <f t="shared" si="19"/>
        <v>15530.835519859778</v>
      </c>
      <c r="M54" s="390">
        <f t="shared" si="19"/>
        <v>15971.99017650024</v>
      </c>
      <c r="N54" s="390">
        <f t="shared" si="19"/>
        <v>16428.089837944004</v>
      </c>
      <c r="O54" s="390">
        <f t="shared" si="19"/>
        <v>16899.691786661278</v>
      </c>
      <c r="P54" s="390"/>
    </row>
    <row r="55" spans="2:16" x14ac:dyDescent="0.25">
      <c r="B55" s="395" t="s">
        <v>342</v>
      </c>
      <c r="C55" s="270" t="s">
        <v>19</v>
      </c>
      <c r="D55" s="411">
        <f t="shared" si="16"/>
        <v>190346.48539240772</v>
      </c>
      <c r="E55" s="71"/>
      <c r="F55" s="390">
        <f t="shared" ref="F55:O55" si="20">-F9</f>
        <v>0</v>
      </c>
      <c r="G55" s="390">
        <f t="shared" si="20"/>
        <v>0</v>
      </c>
      <c r="H55" s="390">
        <f t="shared" si="20"/>
        <v>21662.741299200003</v>
      </c>
      <c r="I55" s="390">
        <f t="shared" si="20"/>
        <v>22247.635314278399</v>
      </c>
      <c r="J55" s="390">
        <f t="shared" si="20"/>
        <v>22848.321467763915</v>
      </c>
      <c r="K55" s="390">
        <f t="shared" si="20"/>
        <v>23465.226147393536</v>
      </c>
      <c r="L55" s="390">
        <f t="shared" si="20"/>
        <v>24075.322027225768</v>
      </c>
      <c r="M55" s="390">
        <f t="shared" si="20"/>
        <v>24701.280399933643</v>
      </c>
      <c r="N55" s="390">
        <f t="shared" si="20"/>
        <v>25343.513690331918</v>
      </c>
      <c r="O55" s="390">
        <f t="shared" si="20"/>
        <v>26002.445046280547</v>
      </c>
      <c r="P55" s="390"/>
    </row>
    <row r="56" spans="2:16" x14ac:dyDescent="0.25">
      <c r="B56" s="395" t="s">
        <v>352</v>
      </c>
      <c r="C56" s="270" t="s">
        <v>19</v>
      </c>
      <c r="D56" s="411">
        <f t="shared" si="16"/>
        <v>58499.238095238084</v>
      </c>
      <c r="E56" s="71"/>
      <c r="F56" s="390">
        <f t="shared" ref="F56:O56" si="21">-F10</f>
        <v>0</v>
      </c>
      <c r="G56" s="390">
        <f t="shared" si="21"/>
        <v>0</v>
      </c>
      <c r="H56" s="390">
        <f t="shared" si="21"/>
        <v>12476.190476190475</v>
      </c>
      <c r="I56" s="390">
        <f t="shared" si="21"/>
        <v>12476.190476190475</v>
      </c>
      <c r="J56" s="390">
        <f t="shared" si="21"/>
        <v>11642.523809523809</v>
      </c>
      <c r="K56" s="390">
        <f t="shared" si="21"/>
        <v>7237.6666666666661</v>
      </c>
      <c r="L56" s="390">
        <f t="shared" si="21"/>
        <v>3666.6666666666661</v>
      </c>
      <c r="M56" s="390">
        <f t="shared" si="21"/>
        <v>3666.6666666666661</v>
      </c>
      <c r="N56" s="390">
        <f t="shared" si="21"/>
        <v>3666.6666666666661</v>
      </c>
      <c r="O56" s="390">
        <f t="shared" si="21"/>
        <v>3666.6666666666661</v>
      </c>
      <c r="P56" s="390"/>
    </row>
    <row r="57" spans="2:16" x14ac:dyDescent="0.25">
      <c r="B57" s="395" t="s">
        <v>343</v>
      </c>
      <c r="C57" s="270" t="s">
        <v>19</v>
      </c>
      <c r="D57" s="411">
        <f t="shared" si="16"/>
        <v>3000</v>
      </c>
      <c r="E57" s="71"/>
      <c r="F57" s="390">
        <f t="shared" ref="F57:O57" si="22">-F11</f>
        <v>300</v>
      </c>
      <c r="G57" s="390">
        <f t="shared" si="22"/>
        <v>300</v>
      </c>
      <c r="H57" s="390">
        <f t="shared" si="22"/>
        <v>300</v>
      </c>
      <c r="I57" s="390">
        <f t="shared" si="22"/>
        <v>300</v>
      </c>
      <c r="J57" s="390">
        <f t="shared" si="22"/>
        <v>300</v>
      </c>
      <c r="K57" s="390">
        <f t="shared" si="22"/>
        <v>300</v>
      </c>
      <c r="L57" s="390">
        <f t="shared" si="22"/>
        <v>300</v>
      </c>
      <c r="M57" s="390">
        <f t="shared" si="22"/>
        <v>300</v>
      </c>
      <c r="N57" s="390">
        <f t="shared" si="22"/>
        <v>300</v>
      </c>
      <c r="O57" s="390">
        <f t="shared" si="22"/>
        <v>300</v>
      </c>
      <c r="P57" s="390"/>
    </row>
    <row r="59" spans="2:16" x14ac:dyDescent="0.25">
      <c r="B59" s="124" t="s">
        <v>339</v>
      </c>
      <c r="C59" s="405" t="s">
        <v>27</v>
      </c>
      <c r="D59" s="165">
        <f>SUM(D60:D64)</f>
        <v>1</v>
      </c>
      <c r="E59" s="71"/>
      <c r="F59" s="165">
        <f>SUM(F60:F64)</f>
        <v>1</v>
      </c>
      <c r="G59" s="165">
        <f>SUM(G60:G64)</f>
        <v>1</v>
      </c>
      <c r="H59" s="165">
        <f t="shared" ref="H59:O59" si="23">SUM(H60:H64)</f>
        <v>0.99999999999999989</v>
      </c>
      <c r="I59" s="165">
        <f t="shared" si="23"/>
        <v>1.0000000000000002</v>
      </c>
      <c r="J59" s="165">
        <f t="shared" si="23"/>
        <v>0.99999999999999989</v>
      </c>
      <c r="K59" s="165">
        <f t="shared" si="23"/>
        <v>1</v>
      </c>
      <c r="L59" s="165">
        <f t="shared" si="23"/>
        <v>1.0000000000000002</v>
      </c>
      <c r="M59" s="165">
        <f t="shared" si="23"/>
        <v>1.0000000000000002</v>
      </c>
      <c r="N59" s="165">
        <f t="shared" si="23"/>
        <v>1</v>
      </c>
      <c r="O59" s="165">
        <f t="shared" si="23"/>
        <v>1.0000000000000002</v>
      </c>
      <c r="P59" s="165"/>
    </row>
    <row r="60" spans="2:16" x14ac:dyDescent="0.25">
      <c r="B60" s="395" t="s">
        <v>340</v>
      </c>
      <c r="C60" s="405" t="s">
        <v>27</v>
      </c>
      <c r="D60" s="165">
        <f>D53/D$52</f>
        <v>9.7114575202345746E-2</v>
      </c>
      <c r="E60" s="71"/>
      <c r="F60" s="165">
        <f>F53/F$52</f>
        <v>0</v>
      </c>
      <c r="G60" s="165">
        <f>G53/G$52</f>
        <v>0</v>
      </c>
      <c r="H60" s="165">
        <f t="shared" ref="H60:O60" si="24">H53/H$52</f>
        <v>3.0907835070299986E-2</v>
      </c>
      <c r="I60" s="165">
        <f t="shared" si="24"/>
        <v>9.2147782035469833E-2</v>
      </c>
      <c r="J60" s="165">
        <f t="shared" si="24"/>
        <v>9.5076053512187481E-2</v>
      </c>
      <c r="K60" s="165">
        <f t="shared" si="24"/>
        <v>0.10482880952376522</v>
      </c>
      <c r="L60" s="165">
        <f t="shared" si="24"/>
        <v>0.11416004920600187</v>
      </c>
      <c r="M60" s="165">
        <f t="shared" si="24"/>
        <v>0.11568836836604506</v>
      </c>
      <c r="N60" s="165">
        <f t="shared" si="24"/>
        <v>0.1172229321284803</v>
      </c>
      <c r="O60" s="165">
        <f t="shared" si="24"/>
        <v>0.11876355658262554</v>
      </c>
      <c r="P60" s="165"/>
    </row>
    <row r="61" spans="2:16" x14ac:dyDescent="0.25">
      <c r="B61" s="395" t="s">
        <v>341</v>
      </c>
      <c r="C61" s="405" t="s">
        <v>27</v>
      </c>
      <c r="D61" s="165">
        <f>D54/D$52</f>
        <v>0.30384263314343218</v>
      </c>
      <c r="E61" s="71"/>
      <c r="F61" s="165">
        <f t="shared" ref="F61:G64" si="25">F54/F$52</f>
        <v>0.93981945837512537</v>
      </c>
      <c r="G61" s="165">
        <f t="shared" si="25"/>
        <v>0.9421050600177544</v>
      </c>
      <c r="H61" s="165">
        <f t="shared" ref="H61:O61" si="26">H54/H$52</f>
        <v>0.20878300542178396</v>
      </c>
      <c r="I61" s="165">
        <f t="shared" si="26"/>
        <v>0.26134423218961195</v>
      </c>
      <c r="J61" s="165">
        <f t="shared" si="26"/>
        <v>0.26779371748339725</v>
      </c>
      <c r="K61" s="165">
        <f t="shared" si="26"/>
        <v>0.29324724946891723</v>
      </c>
      <c r="L61" s="165">
        <f t="shared" si="26"/>
        <v>0.31574346673539916</v>
      </c>
      <c r="M61" s="165">
        <f t="shared" si="26"/>
        <v>0.3164031485193326</v>
      </c>
      <c r="N61" s="165">
        <f t="shared" si="26"/>
        <v>0.31707235354680474</v>
      </c>
      <c r="O61" s="165">
        <f t="shared" si="26"/>
        <v>0.31775132226389358</v>
      </c>
      <c r="P61" s="165"/>
    </row>
    <row r="62" spans="2:16" x14ac:dyDescent="0.25">
      <c r="B62" s="395" t="s">
        <v>342</v>
      </c>
      <c r="C62" s="405" t="s">
        <v>27</v>
      </c>
      <c r="D62" s="165">
        <f>D55/D$52</f>
        <v>0.45276008030619203</v>
      </c>
      <c r="E62" s="71"/>
      <c r="F62" s="165">
        <f t="shared" si="25"/>
        <v>0</v>
      </c>
      <c r="G62" s="165">
        <f t="shared" si="25"/>
        <v>0</v>
      </c>
      <c r="H62" s="165">
        <f t="shared" ref="H62:O62" si="27">H55/H$52</f>
        <v>0.47824888231874985</v>
      </c>
      <c r="I62" s="165">
        <f t="shared" si="27"/>
        <v>0.41067112374694453</v>
      </c>
      <c r="J62" s="165">
        <f t="shared" si="27"/>
        <v>0.41842490957316009</v>
      </c>
      <c r="K62" s="165">
        <f t="shared" si="27"/>
        <v>0.45557946750251421</v>
      </c>
      <c r="L62" s="165">
        <f t="shared" si="27"/>
        <v>0.48945374702648409</v>
      </c>
      <c r="M62" s="165">
        <f t="shared" si="27"/>
        <v>0.489329307408228</v>
      </c>
      <c r="N62" s="165">
        <f t="shared" si="27"/>
        <v>0.48914558005271352</v>
      </c>
      <c r="O62" s="165">
        <f t="shared" si="27"/>
        <v>0.48890307585794052</v>
      </c>
      <c r="P62" s="165"/>
    </row>
    <row r="63" spans="2:16" x14ac:dyDescent="0.25">
      <c r="B63" s="395" t="s">
        <v>352</v>
      </c>
      <c r="C63" s="405" t="s">
        <v>27</v>
      </c>
      <c r="D63" s="165">
        <f>D56/D$52</f>
        <v>0.13914688092742417</v>
      </c>
      <c r="E63" s="71"/>
      <c r="F63" s="165">
        <f t="shared" si="25"/>
        <v>0</v>
      </c>
      <c r="G63" s="165">
        <f t="shared" si="25"/>
        <v>0</v>
      </c>
      <c r="H63" s="165">
        <f t="shared" ref="H63:O63" si="28">H56/H$52</f>
        <v>0.27543716967410192</v>
      </c>
      <c r="I63" s="165">
        <f t="shared" si="28"/>
        <v>0.23029913474218836</v>
      </c>
      <c r="J63" s="165">
        <f t="shared" si="28"/>
        <v>0.2132113721822613</v>
      </c>
      <c r="K63" s="165">
        <f t="shared" si="28"/>
        <v>0.14051994663290118</v>
      </c>
      <c r="L63" s="165">
        <f t="shared" si="28"/>
        <v>7.4543706500274365E-2</v>
      </c>
      <c r="M63" s="165">
        <f t="shared" si="28"/>
        <v>7.2636212837843647E-2</v>
      </c>
      <c r="N63" s="165">
        <f t="shared" si="28"/>
        <v>7.0768947646387956E-2</v>
      </c>
      <c r="O63" s="165">
        <f t="shared" si="28"/>
        <v>6.8941386407642427E-2</v>
      </c>
      <c r="P63" s="165"/>
    </row>
    <row r="64" spans="2:16" x14ac:dyDescent="0.25">
      <c r="B64" s="395" t="s">
        <v>343</v>
      </c>
      <c r="C64" s="405" t="s">
        <v>27</v>
      </c>
      <c r="D64" s="165">
        <f>D57/D$52</f>
        <v>7.1358304206059868E-3</v>
      </c>
      <c r="E64" s="71"/>
      <c r="F64" s="165">
        <f t="shared" si="25"/>
        <v>6.0180541624874621E-2</v>
      </c>
      <c r="G64" s="165">
        <f t="shared" si="25"/>
        <v>5.7894939982245548E-2</v>
      </c>
      <c r="H64" s="165">
        <f t="shared" ref="H64:O64" si="29">H57/H$52</f>
        <v>6.6231075150642834E-3</v>
      </c>
      <c r="I64" s="165">
        <f t="shared" si="29"/>
        <v>5.5377272857854458E-3</v>
      </c>
      <c r="J64" s="165">
        <f t="shared" si="29"/>
        <v>5.4939472489938211E-3</v>
      </c>
      <c r="K64" s="165">
        <f t="shared" si="29"/>
        <v>5.8245268719021356E-3</v>
      </c>
      <c r="L64" s="165">
        <f t="shared" si="29"/>
        <v>6.0990305318406306E-3</v>
      </c>
      <c r="M64" s="165">
        <f t="shared" si="29"/>
        <v>5.9429628685508445E-3</v>
      </c>
      <c r="N64" s="165">
        <f t="shared" si="29"/>
        <v>5.7901866256135611E-3</v>
      </c>
      <c r="O64" s="165">
        <f t="shared" si="29"/>
        <v>5.6406588878980179E-3</v>
      </c>
      <c r="P64" s="165"/>
    </row>
  </sheetData>
  <hyperlinks>
    <hyperlink ref="M1" location="Контроль!A1" display="Контроль!A1" xr:uid="{75367293-03C2-4251-97EB-52171F220D9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fitToHeight="3" orientation="landscape" r:id="rId1"/>
  <headerFooter>
    <oddFooter>&amp;C&amp;9Страница  &amp;P из &amp;N&amp;R&amp;G</oddFooter>
  </headerFooter>
  <rowBreaks count="1" manualBreakCount="1">
    <brk id="37" max="16383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D04D7-F744-41CA-96DB-AED7FA3CBD93}">
  <sheetPr codeName="Лист5">
    <tabColor theme="5" tint="0.79998168889431442"/>
    <outlinePr summaryBelow="0" summaryRight="0"/>
    <pageSetUpPr fitToPage="1"/>
  </sheetPr>
  <dimension ref="A1:AD190"/>
  <sheetViews>
    <sheetView zoomScaleNormal="100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/>
    </sheetView>
  </sheetViews>
  <sheetFormatPr defaultRowHeight="15" outlineLevelRow="1" outlineLevelCol="1" x14ac:dyDescent="0.25"/>
  <cols>
    <col min="1" max="1" width="9.140625" customWidth="1"/>
    <col min="2" max="2" width="39" customWidth="1"/>
    <col min="3" max="3" width="9.5703125" style="3" customWidth="1"/>
    <col min="4" max="4" width="11" customWidth="1"/>
    <col min="5" max="5" width="2.28515625" customWidth="1"/>
    <col min="6" max="15" width="10" customWidth="1"/>
    <col min="16" max="16" width="1.5703125" customWidth="1"/>
    <col min="17" max="17" width="2.85546875" customWidth="1" collapsed="1"/>
    <col min="18" max="27" width="8.85546875" hidden="1" customWidth="1" outlineLevel="1"/>
    <col min="28" max="28" width="1.5703125" customWidth="1"/>
    <col min="29" max="29" width="5" customWidth="1"/>
  </cols>
  <sheetData>
    <row r="1" spans="1:30" ht="25.5" x14ac:dyDescent="0.25">
      <c r="A1" s="690" t="s">
        <v>1068</v>
      </c>
      <c r="B1" s="71"/>
      <c r="C1" s="428"/>
      <c r="D1" s="71"/>
      <c r="E1" s="71"/>
      <c r="F1" s="71"/>
      <c r="G1" s="71"/>
      <c r="H1" s="71"/>
      <c r="J1" s="71"/>
      <c r="K1" s="71"/>
      <c r="L1" s="71"/>
      <c r="M1" s="154" t="str">
        <f ca="1">Контроль!$Q$1</f>
        <v>Ошибок нет</v>
      </c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28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417" t="s">
        <v>2</v>
      </c>
      <c r="B3" s="127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41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211"/>
      <c r="B5" s="87" t="s">
        <v>85</v>
      </c>
      <c r="C5" s="270" t="s">
        <v>19</v>
      </c>
      <c r="D5" s="431">
        <v>0</v>
      </c>
      <c r="E5" s="71"/>
      <c r="F5" s="230">
        <v>0</v>
      </c>
      <c r="G5" s="230">
        <f ca="1">F58</f>
        <v>3577.8642666666638</v>
      </c>
      <c r="H5" s="230">
        <f t="shared" ref="H5:O5" ca="1" si="2">G58</f>
        <v>27970.645542399987</v>
      </c>
      <c r="I5" s="230">
        <f t="shared" ca="1" si="2"/>
        <v>1816.1782407605788</v>
      </c>
      <c r="J5" s="230">
        <f t="shared" ca="1" si="2"/>
        <v>40923.739838944806</v>
      </c>
      <c r="K5" s="230">
        <f t="shared" ca="1" si="2"/>
        <v>84329.494879429025</v>
      </c>
      <c r="L5" s="230">
        <f t="shared" ca="1" si="2"/>
        <v>132092.33306645125</v>
      </c>
      <c r="M5" s="230">
        <f t="shared" ca="1" si="2"/>
        <v>184467.71100819414</v>
      </c>
      <c r="N5" s="230">
        <f t="shared" ca="1" si="2"/>
        <v>241673.29237955395</v>
      </c>
      <c r="O5" s="230">
        <f t="shared" ca="1" si="2"/>
        <v>300269.86374829285</v>
      </c>
      <c r="P5" s="386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x14ac:dyDescent="0.25">
      <c r="A6" s="419" t="s">
        <v>69</v>
      </c>
      <c r="B6" s="78"/>
      <c r="C6" s="429"/>
      <c r="D6" s="432"/>
      <c r="E6" s="71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71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420"/>
      <c r="B7" s="423" t="s">
        <v>72</v>
      </c>
      <c r="C7" s="270" t="s">
        <v>19</v>
      </c>
      <c r="D7" s="228">
        <f>SUM(D8:D9)</f>
        <v>1116288.2590691657</v>
      </c>
      <c r="E7" s="71"/>
      <c r="F7" s="228">
        <f t="shared" ref="F7:O7" si="3">SUM(F8:F9)</f>
        <v>0</v>
      </c>
      <c r="G7" s="228">
        <f t="shared" si="3"/>
        <v>0</v>
      </c>
      <c r="H7" s="228">
        <f t="shared" si="3"/>
        <v>46306</v>
      </c>
      <c r="I7" s="228">
        <f t="shared" si="3"/>
        <v>135478</v>
      </c>
      <c r="J7" s="228">
        <f t="shared" si="3"/>
        <v>140894.32000000004</v>
      </c>
      <c r="K7" s="228">
        <f t="shared" si="3"/>
        <v>146527.29280000002</v>
      </c>
      <c r="L7" s="228">
        <f t="shared" si="3"/>
        <v>152385.584512</v>
      </c>
      <c r="M7" s="228">
        <f t="shared" si="3"/>
        <v>158478.20789248002</v>
      </c>
      <c r="N7" s="228">
        <f t="shared" si="3"/>
        <v>164814.5362081792</v>
      </c>
      <c r="O7" s="228">
        <f t="shared" si="3"/>
        <v>171404.31765650638</v>
      </c>
      <c r="P7" s="385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outlineLevel="1" x14ac:dyDescent="0.25">
      <c r="A8" s="261" t="str" cm="1">
        <f t="array" aca="1" ref="A8" ca="1">HYPERLINK(CELL("адрес",Выручка!A10),"источник")</f>
        <v>источник</v>
      </c>
      <c r="B8" s="424" t="s">
        <v>67</v>
      </c>
      <c r="C8" s="270" t="s">
        <v>19</v>
      </c>
      <c r="D8" s="250">
        <f>SUM(F8:O8)</f>
        <v>1115728.2590691657</v>
      </c>
      <c r="E8" s="71"/>
      <c r="F8" s="230">
        <f>Выручка!F10</f>
        <v>0</v>
      </c>
      <c r="G8" s="230">
        <f>Выручка!G10</f>
        <v>0</v>
      </c>
      <c r="H8" s="230">
        <f>Выручка!H10</f>
        <v>46236</v>
      </c>
      <c r="I8" s="230">
        <f>Выручка!I10</f>
        <v>135408</v>
      </c>
      <c r="J8" s="230">
        <f>Выручка!J10</f>
        <v>140824.32000000004</v>
      </c>
      <c r="K8" s="230">
        <f>Выручка!K10</f>
        <v>146457.29280000002</v>
      </c>
      <c r="L8" s="230">
        <f>Выручка!L10</f>
        <v>152315.584512</v>
      </c>
      <c r="M8" s="230">
        <f>Выручка!M10</f>
        <v>158408.20789248002</v>
      </c>
      <c r="N8" s="230">
        <f>Выручка!N10</f>
        <v>164744.5362081792</v>
      </c>
      <c r="O8" s="230">
        <f>Выручка!O10</f>
        <v>171334.31765650638</v>
      </c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outlineLevel="1" x14ac:dyDescent="0.25">
      <c r="A9" s="261" t="str" cm="1">
        <f t="array" aca="1" ref="A9" ca="1">HYPERLINK(CELL("адрес",ПрочДоходы!A5),"источник")</f>
        <v>источник</v>
      </c>
      <c r="B9" s="424" t="s">
        <v>292</v>
      </c>
      <c r="C9" s="270" t="s">
        <v>19</v>
      </c>
      <c r="D9" s="250">
        <f>SUM(F9:O9)</f>
        <v>560</v>
      </c>
      <c r="E9" s="71"/>
      <c r="F9" s="230">
        <f>ПрочДоходы!F5</f>
        <v>0</v>
      </c>
      <c r="G9" s="230">
        <f>ПрочДоходы!G5</f>
        <v>0</v>
      </c>
      <c r="H9" s="230">
        <f>ПрочДоходы!H5</f>
        <v>70</v>
      </c>
      <c r="I9" s="230">
        <f>ПрочДоходы!I5</f>
        <v>70</v>
      </c>
      <c r="J9" s="230">
        <f>ПрочДоходы!J5</f>
        <v>70</v>
      </c>
      <c r="K9" s="230">
        <f>ПрочДоходы!K5</f>
        <v>70</v>
      </c>
      <c r="L9" s="230">
        <f>ПрочДоходы!L5</f>
        <v>70</v>
      </c>
      <c r="M9" s="230">
        <f>ПрочДоходы!M5</f>
        <v>70</v>
      </c>
      <c r="N9" s="230">
        <f>ПрочДоходы!N5</f>
        <v>70</v>
      </c>
      <c r="O9" s="230">
        <f>ПрочДоходы!O5</f>
        <v>70</v>
      </c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outlineLevel="1" x14ac:dyDescent="0.25">
      <c r="A10" s="421"/>
      <c r="B10" s="425"/>
      <c r="C10" s="270" t="s">
        <v>19</v>
      </c>
      <c r="D10" s="433"/>
      <c r="E10" s="7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235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420"/>
      <c r="B11" s="423" t="s">
        <v>73</v>
      </c>
      <c r="C11" s="270" t="s">
        <v>19</v>
      </c>
      <c r="D11" s="228">
        <f ca="1">SUM(D12:D26)</f>
        <v>-707542.58743942669</v>
      </c>
      <c r="E11" s="71"/>
      <c r="F11" s="228">
        <f ca="1">SUM(F12:F26)</f>
        <v>-8088.8023999999996</v>
      </c>
      <c r="G11" s="228">
        <f t="shared" ref="G11:O11" ca="1" si="4">SUM(G12:G26)</f>
        <v>-13940.552057599998</v>
      </c>
      <c r="H11" s="228">
        <f t="shared" ca="1" si="4"/>
        <v>-60585.467301639401</v>
      </c>
      <c r="I11" s="228">
        <f t="shared" ca="1" si="4"/>
        <v>-84495.438401815773</v>
      </c>
      <c r="J11" s="228">
        <f t="shared" ca="1" si="4"/>
        <v>-85613.564959515817</v>
      </c>
      <c r="K11" s="228">
        <f t="shared" ca="1" si="4"/>
        <v>-86889.454612977788</v>
      </c>
      <c r="L11" s="228">
        <f t="shared" ca="1" si="4"/>
        <v>-88135.206570257069</v>
      </c>
      <c r="M11" s="228">
        <f t="shared" ca="1" si="4"/>
        <v>-89397.626521120212</v>
      </c>
      <c r="N11" s="228">
        <f t="shared" ca="1" si="4"/>
        <v>-94342.964839440319</v>
      </c>
      <c r="O11" s="228">
        <f t="shared" ca="1" si="4"/>
        <v>-96053.509775060375</v>
      </c>
      <c r="P11" s="385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outlineLevel="1" x14ac:dyDescent="0.25">
      <c r="A12" s="261" t="str" cm="1">
        <f t="array" aca="1" ref="A12" ca="1">HYPERLINK(CELL("адрес",Себестоимость!A9),"источник")</f>
        <v>источник</v>
      </c>
      <c r="B12" s="424" t="s">
        <v>257</v>
      </c>
      <c r="C12" s="270" t="s">
        <v>19</v>
      </c>
      <c r="D12" s="250">
        <f t="shared" ref="D12:D24" si="5">SUM(F12:O12)</f>
        <v>-48993.94325835941</v>
      </c>
      <c r="E12" s="71"/>
      <c r="F12" s="230">
        <f>-Себестоимость!F9</f>
        <v>0</v>
      </c>
      <c r="G12" s="230">
        <f>-Себестоимость!G9</f>
        <v>0</v>
      </c>
      <c r="H12" s="230">
        <f>-Себестоимость!H9</f>
        <v>-1680</v>
      </c>
      <c r="I12" s="230">
        <f>-Себестоимость!I9</f>
        <v>-5990.4000000000015</v>
      </c>
      <c r="J12" s="230">
        <f>-Себестоимость!J9</f>
        <v>-6230.0160000000014</v>
      </c>
      <c r="K12" s="230">
        <f>-Себестоимость!K9</f>
        <v>-6479.2166400000024</v>
      </c>
      <c r="L12" s="230">
        <f>-Себестоимость!L9</f>
        <v>-6738.3853056000016</v>
      </c>
      <c r="M12" s="230">
        <f>-Себестоимость!M9</f>
        <v>-7007.9207178240013</v>
      </c>
      <c r="N12" s="230">
        <f>-Себестоимость!N9</f>
        <v>-7288.2375465369614</v>
      </c>
      <c r="O12" s="230">
        <f>-Себестоимость!O9</f>
        <v>-7579.7670483984411</v>
      </c>
      <c r="P12" s="38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outlineLevel="1" x14ac:dyDescent="0.25">
      <c r="A13" s="261" t="str" cm="1">
        <f t="array" aca="1" ref="A13" ca="1">HYPERLINK(CELL("адрес",Ресурсы!A7),"источник")</f>
        <v>источник</v>
      </c>
      <c r="B13" s="424" t="s">
        <v>266</v>
      </c>
      <c r="C13" s="270" t="s">
        <v>19</v>
      </c>
      <c r="D13" s="250">
        <f t="shared" si="5"/>
        <v>-153287.48230307098</v>
      </c>
      <c r="E13" s="71"/>
      <c r="F13" s="230">
        <f>-Ресурсы!F7</f>
        <v>-5622</v>
      </c>
      <c r="G13" s="230">
        <f>-Ресурсы!G7</f>
        <v>-5858.16</v>
      </c>
      <c r="H13" s="230">
        <f>-Ресурсы!H7</f>
        <v>-11348.431499999999</v>
      </c>
      <c r="I13" s="230">
        <f>-Ресурсы!I7</f>
        <v>-16989.627464999998</v>
      </c>
      <c r="J13" s="230">
        <f>-Ресурсы!J7</f>
        <v>-17547.627220424998</v>
      </c>
      <c r="K13" s="230">
        <f>-Ресурсы!K7</f>
        <v>-18124.907332487623</v>
      </c>
      <c r="L13" s="230">
        <f>-Ресурсы!L7</f>
        <v>-18637.002623831733</v>
      </c>
      <c r="M13" s="230">
        <f>-Ресурсы!M7</f>
        <v>-19166.388211800288</v>
      </c>
      <c r="N13" s="230">
        <f>-Ресурсы!N7</f>
        <v>-19713.707805532806</v>
      </c>
      <c r="O13" s="230">
        <f>-Ресурсы!O7</f>
        <v>-20279.630143993534</v>
      </c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outlineLevel="1" x14ac:dyDescent="0.25">
      <c r="A14" s="261" t="str" cm="1">
        <f t="array" aca="1" ref="A14" ca="1">HYPERLINK(CELL("адрес",Персонал!A56),"источник")</f>
        <v>источник</v>
      </c>
      <c r="B14" s="424" t="s">
        <v>158</v>
      </c>
      <c r="C14" s="270" t="s">
        <v>19</v>
      </c>
      <c r="D14" s="250">
        <f t="shared" si="5"/>
        <v>-228233.12930940738</v>
      </c>
      <c r="E14" s="71"/>
      <c r="F14" s="230">
        <f>-Персонал!F56</f>
        <v>-2505.6</v>
      </c>
      <c r="G14" s="230">
        <f>-Персонал!G56</f>
        <v>-2565.7343999999998</v>
      </c>
      <c r="H14" s="230">
        <f>-Персонал!H56</f>
        <v>-25397.349580800004</v>
      </c>
      <c r="I14" s="230">
        <f>-Персонал!I56</f>
        <v>-26083.0780194816</v>
      </c>
      <c r="J14" s="230">
        <f>-Персонал!J56</f>
        <v>-26787.321126007602</v>
      </c>
      <c r="K14" s="230">
        <f>-Персонал!K56</f>
        <v>-27510.578796409805</v>
      </c>
      <c r="L14" s="230">
        <f>-Персонал!L56</f>
        <v>-28225.853845116457</v>
      </c>
      <c r="M14" s="230">
        <f>-Персонал!M56</f>
        <v>-28959.72604508949</v>
      </c>
      <c r="N14" s="230">
        <f>-Персонал!N56</f>
        <v>-29712.678922261817</v>
      </c>
      <c r="O14" s="230">
        <f>-Персонал!O56</f>
        <v>-30485.208574240616</v>
      </c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outlineLevel="1" x14ac:dyDescent="0.25">
      <c r="A15" s="261" t="str" cm="1">
        <f t="array" aca="1" ref="A15" ca="1">HYPERLINK(CELL("адрес",Персонал!A38),"источник")</f>
        <v>источник</v>
      </c>
      <c r="B15" s="424" t="s">
        <v>157</v>
      </c>
      <c r="C15" s="270" t="s">
        <v>19</v>
      </c>
      <c r="D15" s="250">
        <f t="shared" si="5"/>
        <v>-19937.606698293057</v>
      </c>
      <c r="E15" s="71"/>
      <c r="F15" s="230">
        <f>-Персонал!F38</f>
        <v>-218.88</v>
      </c>
      <c r="G15" s="230">
        <f>-Персонал!G38</f>
        <v>-224.13311999999999</v>
      </c>
      <c r="H15" s="230">
        <f>-Персонал!H38</f>
        <v>-2218.6190438399999</v>
      </c>
      <c r="I15" s="230">
        <f>-Персонал!I38</f>
        <v>-2278.5217580236799</v>
      </c>
      <c r="J15" s="230">
        <f>-Персонал!J38</f>
        <v>-2340.0418454903192</v>
      </c>
      <c r="K15" s="230">
        <f>-Персонал!K38</f>
        <v>-2403.2229753185575</v>
      </c>
      <c r="L15" s="230">
        <f>-Персонал!L38</f>
        <v>-2465.70677267684</v>
      </c>
      <c r="M15" s="230">
        <f>-Персонал!M38</f>
        <v>-2529.8151487664381</v>
      </c>
      <c r="N15" s="230">
        <f>-Персонал!N38</f>
        <v>-2595.5903426343657</v>
      </c>
      <c r="O15" s="230">
        <f>-Персонал!O38</f>
        <v>-2663.0756915428587</v>
      </c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outlineLevel="1" x14ac:dyDescent="0.25">
      <c r="A16" s="261" t="str" cm="1">
        <f t="array" aca="1" ref="A16" ca="1">HYPERLINK(CELL("адрес",Персонал!A51),"источник")</f>
        <v>источник</v>
      </c>
      <c r="B16" s="424" t="s">
        <v>68</v>
      </c>
      <c r="C16" s="270" t="s">
        <v>19</v>
      </c>
      <c r="D16" s="250">
        <f t="shared" si="5"/>
        <v>-34103.80093129076</v>
      </c>
      <c r="E16" s="71"/>
      <c r="F16" s="230">
        <f>-Персонал!F51</f>
        <v>-374.40000000000003</v>
      </c>
      <c r="G16" s="230">
        <f>-Персонал!G51</f>
        <v>-383.38559999999995</v>
      </c>
      <c r="H16" s="230">
        <f>-Персонал!H51</f>
        <v>-3795.0062592000004</v>
      </c>
      <c r="I16" s="230">
        <f>-Персонал!I51</f>
        <v>-3897.4714281984002</v>
      </c>
      <c r="J16" s="230">
        <f>-Персонал!J51</f>
        <v>-4002.7031567597564</v>
      </c>
      <c r="K16" s="230">
        <f>-Персонал!K51</f>
        <v>-4110.776141992269</v>
      </c>
      <c r="L16" s="230">
        <f>-Персонал!L51</f>
        <v>-4217.6563216840677</v>
      </c>
      <c r="M16" s="230">
        <f>-Персонал!M51</f>
        <v>-4327.3153860478551</v>
      </c>
      <c r="N16" s="230">
        <f>-Персонал!N51</f>
        <v>-4439.8255860850986</v>
      </c>
      <c r="O16" s="230">
        <f>-Персонал!O51</f>
        <v>-4555.2610513233112</v>
      </c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outlineLevel="1" x14ac:dyDescent="0.25">
      <c r="A17" s="261" t="str" cm="1">
        <f t="array" aca="1" ref="A17" ca="1">HYPERLINK(CELL("адрес",ОбщПрРасходы!A12),"источник")</f>
        <v>источник</v>
      </c>
      <c r="B17" s="424" t="s">
        <v>281</v>
      </c>
      <c r="C17" s="270" t="s">
        <v>19</v>
      </c>
      <c r="D17" s="250">
        <f t="shared" si="5"/>
        <v>-3600</v>
      </c>
      <c r="E17" s="71"/>
      <c r="F17" s="230">
        <f>-ОбщПрРасходы!F12</f>
        <v>-360</v>
      </c>
      <c r="G17" s="230">
        <f>-ОбщПрРасходы!G12</f>
        <v>-360</v>
      </c>
      <c r="H17" s="230">
        <f>-ОбщПрРасходы!H12</f>
        <v>-360</v>
      </c>
      <c r="I17" s="230">
        <f>-ОбщПрРасходы!I12</f>
        <v>-360</v>
      </c>
      <c r="J17" s="230">
        <f>-ОбщПрРасходы!J12</f>
        <v>-360</v>
      </c>
      <c r="K17" s="230">
        <f>-ОбщПрРасходы!K12</f>
        <v>-360</v>
      </c>
      <c r="L17" s="230">
        <f>-ОбщПрРасходы!L12</f>
        <v>-360</v>
      </c>
      <c r="M17" s="230">
        <f>-ОбщПрРасходы!M12</f>
        <v>-360</v>
      </c>
      <c r="N17" s="230">
        <f>-ОбщПрРасходы!N12</f>
        <v>-360</v>
      </c>
      <c r="O17" s="230">
        <f>-ОбщПрРасходы!O12</f>
        <v>-360</v>
      </c>
      <c r="P17" s="386"/>
      <c r="Q17" s="159"/>
    </row>
    <row r="18" spans="1:17" outlineLevel="1" x14ac:dyDescent="0.25">
      <c r="A18" s="261" t="str" cm="1">
        <f t="array" aca="1" ref="A18" ca="1">HYPERLINK(CELL("адрес",АдмРасходы!A12),"источник")</f>
        <v>источник</v>
      </c>
      <c r="B18" s="424" t="s">
        <v>483</v>
      </c>
      <c r="C18" s="270" t="s">
        <v>19</v>
      </c>
      <c r="D18" s="250">
        <f t="shared" si="5"/>
        <v>-1800</v>
      </c>
      <c r="E18" s="71"/>
      <c r="F18" s="230">
        <f>-АдмРасходы!F12</f>
        <v>-180</v>
      </c>
      <c r="G18" s="230">
        <f>-АдмРасходы!G12</f>
        <v>-180</v>
      </c>
      <c r="H18" s="230">
        <f>-АдмРасходы!H12</f>
        <v>-180</v>
      </c>
      <c r="I18" s="230">
        <f>-АдмРасходы!I12</f>
        <v>-180</v>
      </c>
      <c r="J18" s="230">
        <f>-АдмРасходы!J12</f>
        <v>-180</v>
      </c>
      <c r="K18" s="230">
        <f>-АдмРасходы!K12</f>
        <v>-180</v>
      </c>
      <c r="L18" s="230">
        <f>-АдмРасходы!L12</f>
        <v>-180</v>
      </c>
      <c r="M18" s="230">
        <f>-АдмРасходы!M12</f>
        <v>-180</v>
      </c>
      <c r="N18" s="230">
        <f>-АдмРасходы!N12</f>
        <v>-180</v>
      </c>
      <c r="O18" s="230">
        <f>-АдмРасходы!O12</f>
        <v>-180</v>
      </c>
      <c r="P18" s="386"/>
      <c r="Q18" s="159"/>
    </row>
    <row r="19" spans="1:17" outlineLevel="1" x14ac:dyDescent="0.25">
      <c r="A19" s="421"/>
      <c r="B19" s="424"/>
      <c r="C19" s="270"/>
      <c r="D19" s="250"/>
      <c r="E19" s="71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386"/>
      <c r="Q19" s="159"/>
    </row>
    <row r="20" spans="1:17" outlineLevel="1" x14ac:dyDescent="0.25">
      <c r="A20" s="261" t="str" cm="1">
        <f t="array" aca="1" ref="A20" ca="1">HYPERLINK(CELL("адрес",НДС!A16),"источник")</f>
        <v>источник</v>
      </c>
      <c r="B20" s="424" t="s">
        <v>74</v>
      </c>
      <c r="C20" s="270" t="s">
        <v>19</v>
      </c>
      <c r="D20" s="250">
        <f t="shared" si="5"/>
        <v>-151341.13891795586</v>
      </c>
      <c r="E20" s="71"/>
      <c r="F20" s="230">
        <f>-НДС!F16</f>
        <v>1027</v>
      </c>
      <c r="G20" s="230">
        <f>-НДС!G16</f>
        <v>1066.3600000000001</v>
      </c>
      <c r="H20" s="230">
        <f>-НДС!H16</f>
        <v>-5444.5947500000002</v>
      </c>
      <c r="I20" s="230">
        <f>-НДС!I16</f>
        <v>-18647.995422499996</v>
      </c>
      <c r="J20" s="230">
        <f>-НДС!J16</f>
        <v>-19417.779463262505</v>
      </c>
      <c r="K20" s="230">
        <f>-НДС!K16</f>
        <v>-20218.861471252065</v>
      </c>
      <c r="L20" s="230">
        <f>-НДС!L16</f>
        <v>-21066.699430428045</v>
      </c>
      <c r="M20" s="230">
        <f>-НДС!M16</f>
        <v>-21948.983160475953</v>
      </c>
      <c r="N20" s="230">
        <f>-НДС!N16</f>
        <v>-22867.098476018244</v>
      </c>
      <c r="O20" s="230">
        <f>-НДС!O16</f>
        <v>-23822.486744019072</v>
      </c>
      <c r="P20" s="386"/>
      <c r="Q20" s="159"/>
    </row>
    <row r="21" spans="1:17" outlineLevel="1" x14ac:dyDescent="0.25">
      <c r="A21" s="261" t="str" cm="1">
        <f t="array" aca="1" ref="A21" ca="1">HYPERLINK(CELL("адрес",НалИмущество!A19),"источник")</f>
        <v>источник</v>
      </c>
      <c r="B21" s="424" t="s">
        <v>484</v>
      </c>
      <c r="C21" s="270" t="s">
        <v>19</v>
      </c>
      <c r="D21" s="250">
        <f t="shared" si="5"/>
        <v>0</v>
      </c>
      <c r="E21" s="71"/>
      <c r="F21" s="230">
        <f>-НалИмущество!F19</f>
        <v>0</v>
      </c>
      <c r="G21" s="230">
        <f>-НалИмущество!G19</f>
        <v>0</v>
      </c>
      <c r="H21" s="230">
        <f>-НалИмущество!H19</f>
        <v>0</v>
      </c>
      <c r="I21" s="230">
        <f>-НалИмущество!I19</f>
        <v>0</v>
      </c>
      <c r="J21" s="230">
        <f>-НалИмущество!J19</f>
        <v>0</v>
      </c>
      <c r="K21" s="230">
        <f>-НалИмущество!K19</f>
        <v>0</v>
      </c>
      <c r="L21" s="230">
        <f>-НалИмущество!L19</f>
        <v>0</v>
      </c>
      <c r="M21" s="230">
        <f>-НалИмущество!M19</f>
        <v>0</v>
      </c>
      <c r="N21" s="230">
        <f>-НалИмущество!N19</f>
        <v>0</v>
      </c>
      <c r="O21" s="230">
        <f>-НалИмущество!O19</f>
        <v>0</v>
      </c>
      <c r="P21" s="386"/>
      <c r="Q21" s="159"/>
    </row>
    <row r="22" spans="1:17" outlineLevel="1" x14ac:dyDescent="0.25">
      <c r="A22" s="226" t="str" cm="1">
        <f t="array" aca="1" ref="A22" ca="1">HYPERLINK(CELL("адрес",НалПрибыль!A27),"источник")</f>
        <v>источник</v>
      </c>
      <c r="B22" s="424" t="s">
        <v>358</v>
      </c>
      <c r="C22" s="270" t="s">
        <v>19</v>
      </c>
      <c r="D22" s="250">
        <f t="shared" ca="1" si="5"/>
        <v>-14745.486021049259</v>
      </c>
      <c r="E22" s="71"/>
      <c r="F22" s="230">
        <f ca="1">-НалПрибыль!F27</f>
        <v>165.07760000000002</v>
      </c>
      <c r="G22" s="230">
        <f ca="1">-НалПрибыль!G27</f>
        <v>284.50106240000002</v>
      </c>
      <c r="H22" s="230">
        <f ca="1">-НалПрибыль!H27</f>
        <v>546.0338322006096</v>
      </c>
      <c r="I22" s="230">
        <f ca="1">-НалПрибыль!I27</f>
        <v>-785.84430861211706</v>
      </c>
      <c r="J22" s="230">
        <f ca="1">-НалПрибыль!J27</f>
        <v>-890.57614757062049</v>
      </c>
      <c r="K22" s="230">
        <f ca="1">-НалПрибыль!K27</f>
        <v>-1069.3912555174609</v>
      </c>
      <c r="L22" s="230">
        <f ca="1">-НалПрибыль!L27</f>
        <v>-1236.4022709199239</v>
      </c>
      <c r="M22" s="230">
        <f ca="1">-НалПрибыль!M27</f>
        <v>-1334.9778511161865</v>
      </c>
      <c r="N22" s="230">
        <f ca="1">-НалПрибыль!N27</f>
        <v>-5028.3261603710271</v>
      </c>
      <c r="O22" s="230">
        <f ca="1">-НалПрибыль!O27</f>
        <v>-5395.5805215425326</v>
      </c>
      <c r="P22" s="386"/>
      <c r="Q22" s="159"/>
    </row>
    <row r="23" spans="1:17" outlineLevel="1" x14ac:dyDescent="0.25">
      <c r="A23" s="226" t="str" cm="1">
        <f t="array" aca="1" ref="A23" ca="1">HYPERLINK(CELL("адрес",НалЗемля!A15),"источник")</f>
        <v>источник</v>
      </c>
      <c r="B23" s="424" t="s">
        <v>359</v>
      </c>
      <c r="C23" s="270" t="s">
        <v>19</v>
      </c>
      <c r="D23" s="250">
        <f t="shared" si="5"/>
        <v>0</v>
      </c>
      <c r="E23" s="71"/>
      <c r="F23" s="230">
        <f>-НалЗемля!F15</f>
        <v>0</v>
      </c>
      <c r="G23" s="230">
        <f>-НалЗемля!G15</f>
        <v>0</v>
      </c>
      <c r="H23" s="230">
        <f>-НалЗемля!H15</f>
        <v>0</v>
      </c>
      <c r="I23" s="230">
        <f>-НалЗемля!I15</f>
        <v>0</v>
      </c>
      <c r="J23" s="230">
        <f>-НалЗемля!J15</f>
        <v>0</v>
      </c>
      <c r="K23" s="230">
        <f>-НалЗемля!K15</f>
        <v>0</v>
      </c>
      <c r="L23" s="230">
        <f>-НалЗемля!L15</f>
        <v>0</v>
      </c>
      <c r="M23" s="230">
        <f>-НалЗемля!M15</f>
        <v>0</v>
      </c>
      <c r="N23" s="230">
        <f>-НалЗемля!N15</f>
        <v>0</v>
      </c>
      <c r="O23" s="230">
        <f>-НалЗемля!O15</f>
        <v>0</v>
      </c>
      <c r="P23" s="386"/>
      <c r="Q23" s="159"/>
    </row>
    <row r="24" spans="1:17" outlineLevel="1" x14ac:dyDescent="0.25">
      <c r="A24" s="261" t="str" cm="1">
        <f t="array" aca="1" ref="A24" ca="1">HYPERLINK(CELL("адрес",ПрочРасходы!A5),"источник")</f>
        <v>источник</v>
      </c>
      <c r="B24" s="424" t="s">
        <v>293</v>
      </c>
      <c r="C24" s="270" t="s">
        <v>19</v>
      </c>
      <c r="D24" s="250">
        <f t="shared" si="5"/>
        <v>-200</v>
      </c>
      <c r="E24" s="71"/>
      <c r="F24" s="230">
        <f>-ПрочРасходы!F5</f>
        <v>-20</v>
      </c>
      <c r="G24" s="230">
        <f>-ПрочРасходы!G5</f>
        <v>-20</v>
      </c>
      <c r="H24" s="230">
        <f>-ПрочРасходы!H5</f>
        <v>-20</v>
      </c>
      <c r="I24" s="230">
        <f>-ПрочРасходы!I5</f>
        <v>-20</v>
      </c>
      <c r="J24" s="230">
        <f>-ПрочРасходы!J5</f>
        <v>-20</v>
      </c>
      <c r="K24" s="230">
        <f>-ПрочРасходы!K5</f>
        <v>-20</v>
      </c>
      <c r="L24" s="230">
        <f>-ПрочРасходы!L5</f>
        <v>-20</v>
      </c>
      <c r="M24" s="230">
        <f>-ПрочРасходы!M5</f>
        <v>-20</v>
      </c>
      <c r="N24" s="230">
        <f>-ПрочРасходы!N5</f>
        <v>-20</v>
      </c>
      <c r="O24" s="230">
        <f>-ПрочРасходы!O5</f>
        <v>-20</v>
      </c>
      <c r="P24" s="386"/>
      <c r="Q24" s="159"/>
    </row>
    <row r="25" spans="1:17" outlineLevel="1" x14ac:dyDescent="0.25">
      <c r="A25" s="261" t="str" cm="1">
        <f t="array" aca="1" ref="A25" ca="1">HYPERLINK(CELL("адрес",Финансы!A26),"источник")</f>
        <v>источник</v>
      </c>
      <c r="B25" s="424" t="s">
        <v>236</v>
      </c>
      <c r="C25" s="270" t="s">
        <v>19</v>
      </c>
      <c r="D25" s="250">
        <f ca="1">SUM(F25:O25)</f>
        <v>-51300</v>
      </c>
      <c r="E25" s="71"/>
      <c r="F25" s="230">
        <f ca="1">-Финансы!F26</f>
        <v>0</v>
      </c>
      <c r="G25" s="230">
        <f ca="1">-Финансы!G26</f>
        <v>-5700</v>
      </c>
      <c r="H25" s="230">
        <f ca="1">-Финансы!H26</f>
        <v>-10687.5</v>
      </c>
      <c r="I25" s="230">
        <f ca="1">-Финансы!I26</f>
        <v>-9262.5</v>
      </c>
      <c r="J25" s="230">
        <f ca="1">-Финансы!J26</f>
        <v>-7837.5</v>
      </c>
      <c r="K25" s="230">
        <f ca="1">-Финансы!K26</f>
        <v>-6412.5</v>
      </c>
      <c r="L25" s="230">
        <f ca="1">-Финансы!L26</f>
        <v>-4987.5</v>
      </c>
      <c r="M25" s="230">
        <f ca="1">-Финансы!M26</f>
        <v>-3562.5</v>
      </c>
      <c r="N25" s="230">
        <f ca="1">-Финансы!N26</f>
        <v>-2137.5</v>
      </c>
      <c r="O25" s="230">
        <f ca="1">-Финансы!O26</f>
        <v>-712.5</v>
      </c>
      <c r="P25" s="386"/>
      <c r="Q25" s="159"/>
    </row>
    <row r="26" spans="1:17" outlineLevel="1" x14ac:dyDescent="0.25">
      <c r="A26" s="261"/>
      <c r="B26" s="424"/>
      <c r="C26" s="270"/>
      <c r="D26" s="250"/>
      <c r="E26" s="71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386"/>
      <c r="Q26" s="159"/>
    </row>
    <row r="27" spans="1:17" x14ac:dyDescent="0.25">
      <c r="A27" s="420"/>
      <c r="B27" s="423" t="s">
        <v>70</v>
      </c>
      <c r="C27" s="270" t="s">
        <v>19</v>
      </c>
      <c r="D27" s="228">
        <f ca="1">D7+D11</f>
        <v>408745.67162973899</v>
      </c>
      <c r="E27" s="71"/>
      <c r="F27" s="228">
        <f ca="1">F7+F11</f>
        <v>-8088.8023999999996</v>
      </c>
      <c r="G27" s="228">
        <f t="shared" ref="G27:O27" ca="1" si="6">G7+G11</f>
        <v>-13940.552057599998</v>
      </c>
      <c r="H27" s="228">
        <f t="shared" ca="1" si="6"/>
        <v>-14279.467301639401</v>
      </c>
      <c r="I27" s="228">
        <f t="shared" ca="1" si="6"/>
        <v>50982.561598184227</v>
      </c>
      <c r="J27" s="228">
        <f t="shared" ca="1" si="6"/>
        <v>55280.755040484219</v>
      </c>
      <c r="K27" s="228">
        <f t="shared" ca="1" si="6"/>
        <v>59637.838187022237</v>
      </c>
      <c r="L27" s="228">
        <f t="shared" ca="1" si="6"/>
        <v>64250.377941742932</v>
      </c>
      <c r="M27" s="228">
        <f t="shared" ca="1" si="6"/>
        <v>69080.581371359804</v>
      </c>
      <c r="N27" s="228">
        <f t="shared" ca="1" si="6"/>
        <v>70471.571368738878</v>
      </c>
      <c r="O27" s="228">
        <f t="shared" ca="1" si="6"/>
        <v>75350.807881446002</v>
      </c>
      <c r="P27" s="385"/>
      <c r="Q27" s="159"/>
    </row>
    <row r="28" spans="1:17" ht="6.95" customHeight="1" x14ac:dyDescent="0.25">
      <c r="A28" s="420"/>
      <c r="B28" s="423"/>
      <c r="C28" s="407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59"/>
    </row>
    <row r="29" spans="1:17" x14ac:dyDescent="0.25">
      <c r="A29" s="419" t="s">
        <v>71</v>
      </c>
      <c r="B29" s="78"/>
      <c r="C29" s="429"/>
      <c r="D29" s="432"/>
      <c r="E29" s="71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716"/>
      <c r="Q29" s="159"/>
    </row>
    <row r="30" spans="1:17" x14ac:dyDescent="0.25">
      <c r="A30" s="420"/>
      <c r="B30" s="423" t="s">
        <v>72</v>
      </c>
      <c r="C30" s="270" t="s">
        <v>19</v>
      </c>
      <c r="D30" s="228">
        <f>SUM(D31:D32)</f>
        <v>15000.000000000002</v>
      </c>
      <c r="E30" s="71"/>
      <c r="F30" s="228">
        <f t="shared" ref="F30:O30" si="7">SUM(F31:F32)</f>
        <v>3666.6666666666674</v>
      </c>
      <c r="G30" s="228">
        <f t="shared" si="7"/>
        <v>11333.333333333334</v>
      </c>
      <c r="H30" s="228">
        <f t="shared" si="7"/>
        <v>0</v>
      </c>
      <c r="I30" s="228">
        <f t="shared" si="7"/>
        <v>0</v>
      </c>
      <c r="J30" s="228">
        <f t="shared" si="7"/>
        <v>0</v>
      </c>
      <c r="K30" s="228">
        <f t="shared" si="7"/>
        <v>0</v>
      </c>
      <c r="L30" s="228">
        <f t="shared" si="7"/>
        <v>0</v>
      </c>
      <c r="M30" s="228">
        <f t="shared" si="7"/>
        <v>0</v>
      </c>
      <c r="N30" s="228">
        <f t="shared" si="7"/>
        <v>0</v>
      </c>
      <c r="O30" s="228">
        <f t="shared" si="7"/>
        <v>0</v>
      </c>
      <c r="P30" s="385"/>
      <c r="Q30" s="159"/>
    </row>
    <row r="31" spans="1:17" outlineLevel="1" x14ac:dyDescent="0.25">
      <c r="A31" s="421"/>
      <c r="B31" s="424" t="s">
        <v>75</v>
      </c>
      <c r="C31" s="270" t="s">
        <v>19</v>
      </c>
      <c r="D31" s="250">
        <f>SUM(F31:O31)</f>
        <v>0</v>
      </c>
      <c r="E31" s="71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386"/>
      <c r="Q31" s="159"/>
    </row>
    <row r="32" spans="1:17" outlineLevel="1" x14ac:dyDescent="0.25">
      <c r="A32" s="261" t="str" cm="1">
        <f t="array" aca="1" ref="A32" ca="1">HYPERLINK(CELL("адрес",Инвестиции!A8),"источник")</f>
        <v>источник</v>
      </c>
      <c r="B32" s="424" t="s">
        <v>77</v>
      </c>
      <c r="C32" s="270" t="s">
        <v>19</v>
      </c>
      <c r="D32" s="250">
        <f>SUM(F32:O32)</f>
        <v>15000.000000000002</v>
      </c>
      <c r="E32" s="71"/>
      <c r="F32" s="230">
        <f>Инвестиции!F8</f>
        <v>3666.6666666666674</v>
      </c>
      <c r="G32" s="230">
        <f>Инвестиции!G8</f>
        <v>11333.333333333334</v>
      </c>
      <c r="H32" s="230">
        <f>Инвестиции!H8</f>
        <v>0</v>
      </c>
      <c r="I32" s="230">
        <f>Инвестиции!I8</f>
        <v>0</v>
      </c>
      <c r="J32" s="230">
        <f>Инвестиции!J8</f>
        <v>0</v>
      </c>
      <c r="K32" s="230">
        <f>Инвестиции!K8</f>
        <v>0</v>
      </c>
      <c r="L32" s="230">
        <f>Инвестиции!L8</f>
        <v>0</v>
      </c>
      <c r="M32" s="230">
        <f>Инвестиции!M8</f>
        <v>0</v>
      </c>
      <c r="N32" s="230">
        <f>Инвестиции!N8</f>
        <v>0</v>
      </c>
      <c r="O32" s="230">
        <f>Инвестиции!O8</f>
        <v>0</v>
      </c>
      <c r="P32" s="386"/>
      <c r="Q32" s="159"/>
    </row>
    <row r="33" spans="1:17" outlineLevel="1" x14ac:dyDescent="0.25">
      <c r="A33" s="421"/>
      <c r="B33" s="425"/>
      <c r="C33" s="270" t="s">
        <v>19</v>
      </c>
      <c r="D33" s="433"/>
      <c r="E33" s="7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235"/>
      <c r="Q33" s="159"/>
    </row>
    <row r="34" spans="1:17" x14ac:dyDescent="0.25">
      <c r="A34" s="420"/>
      <c r="B34" s="423" t="s">
        <v>73</v>
      </c>
      <c r="C34" s="270" t="s">
        <v>19</v>
      </c>
      <c r="D34" s="228">
        <f>SUM(D35:D36)</f>
        <v>-90000</v>
      </c>
      <c r="E34" s="71"/>
      <c r="F34" s="691">
        <f t="shared" ref="F34:O34" si="8">SUM(F35:F36)</f>
        <v>-22000</v>
      </c>
      <c r="G34" s="228">
        <f t="shared" si="8"/>
        <v>-68000</v>
      </c>
      <c r="H34" s="228">
        <f t="shared" si="8"/>
        <v>0</v>
      </c>
      <c r="I34" s="228">
        <f t="shared" si="8"/>
        <v>0</v>
      </c>
      <c r="J34" s="228">
        <f t="shared" si="8"/>
        <v>0</v>
      </c>
      <c r="K34" s="228">
        <f t="shared" si="8"/>
        <v>0</v>
      </c>
      <c r="L34" s="228">
        <f t="shared" si="8"/>
        <v>0</v>
      </c>
      <c r="M34" s="228">
        <f t="shared" si="8"/>
        <v>0</v>
      </c>
      <c r="N34" s="228">
        <f t="shared" si="8"/>
        <v>0</v>
      </c>
      <c r="O34" s="228">
        <f t="shared" si="8"/>
        <v>0</v>
      </c>
      <c r="P34" s="385"/>
      <c r="Q34" s="159"/>
    </row>
    <row r="35" spans="1:17" outlineLevel="1" x14ac:dyDescent="0.25">
      <c r="A35" s="261" t="str" cm="1">
        <f t="array" aca="1" ref="A35" ca="1">HYPERLINK(CELL("адрес",Инвестиции!A7),"источник")</f>
        <v>источник</v>
      </c>
      <c r="B35" s="424" t="s">
        <v>216</v>
      </c>
      <c r="C35" s="270" t="s">
        <v>19</v>
      </c>
      <c r="D35" s="250">
        <f>SUM(F35:O35)</f>
        <v>-90000</v>
      </c>
      <c r="E35" s="71"/>
      <c r="F35" s="230">
        <f>-Инвестиции!F7</f>
        <v>-22000</v>
      </c>
      <c r="G35" s="230">
        <f>-Инвестиции!G7</f>
        <v>-68000</v>
      </c>
      <c r="H35" s="230">
        <f>-Инвестиции!H7</f>
        <v>0</v>
      </c>
      <c r="I35" s="230">
        <f>-Инвестиции!I7</f>
        <v>0</v>
      </c>
      <c r="J35" s="230">
        <f>-Инвестиции!J7</f>
        <v>0</v>
      </c>
      <c r="K35" s="230">
        <f>-Инвестиции!K7</f>
        <v>0</v>
      </c>
      <c r="L35" s="230">
        <f>-Инвестиции!L7</f>
        <v>0</v>
      </c>
      <c r="M35" s="230">
        <f>-Инвестиции!M7</f>
        <v>0</v>
      </c>
      <c r="N35" s="230">
        <f>-Инвестиции!N7</f>
        <v>0</v>
      </c>
      <c r="O35" s="230">
        <f>-Инвестиции!O7</f>
        <v>0</v>
      </c>
      <c r="P35" s="386"/>
      <c r="Q35" s="159"/>
    </row>
    <row r="36" spans="1:17" outlineLevel="1" x14ac:dyDescent="0.25">
      <c r="A36" s="421"/>
      <c r="B36" s="424"/>
      <c r="C36" s="270" t="s">
        <v>19</v>
      </c>
      <c r="D36" s="250">
        <f>SUM(F36:O36)</f>
        <v>0</v>
      </c>
      <c r="E36" s="71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386"/>
      <c r="Q36" s="159"/>
    </row>
    <row r="37" spans="1:17" outlineLevel="1" x14ac:dyDescent="0.25">
      <c r="A37" s="421"/>
      <c r="B37" s="426"/>
      <c r="C37" s="270" t="s">
        <v>19</v>
      </c>
      <c r="D37" s="434"/>
      <c r="E37" s="71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717"/>
      <c r="Q37" s="159"/>
    </row>
    <row r="38" spans="1:17" x14ac:dyDescent="0.25">
      <c r="A38" s="420"/>
      <c r="B38" s="423" t="s">
        <v>76</v>
      </c>
      <c r="C38" s="270" t="s">
        <v>19</v>
      </c>
      <c r="D38" s="228">
        <f>D30+D34</f>
        <v>-75000</v>
      </c>
      <c r="E38" s="71"/>
      <c r="F38" s="228">
        <f t="shared" ref="F38:O38" si="9">F30+F34</f>
        <v>-18333.333333333332</v>
      </c>
      <c r="G38" s="228">
        <f t="shared" si="9"/>
        <v>-56666.666666666664</v>
      </c>
      <c r="H38" s="228">
        <f t="shared" si="9"/>
        <v>0</v>
      </c>
      <c r="I38" s="228">
        <f t="shared" si="9"/>
        <v>0</v>
      </c>
      <c r="J38" s="228">
        <f t="shared" si="9"/>
        <v>0</v>
      </c>
      <c r="K38" s="228">
        <f t="shared" si="9"/>
        <v>0</v>
      </c>
      <c r="L38" s="228">
        <f t="shared" si="9"/>
        <v>0</v>
      </c>
      <c r="M38" s="228">
        <f t="shared" si="9"/>
        <v>0</v>
      </c>
      <c r="N38" s="228">
        <f t="shared" si="9"/>
        <v>0</v>
      </c>
      <c r="O38" s="228">
        <f t="shared" si="9"/>
        <v>0</v>
      </c>
      <c r="P38" s="385"/>
      <c r="Q38" s="159"/>
    </row>
    <row r="39" spans="1:17" x14ac:dyDescent="0.25">
      <c r="A39" s="149"/>
      <c r="B39" s="149"/>
      <c r="C39" s="40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59"/>
    </row>
    <row r="40" spans="1:17" x14ac:dyDescent="0.25">
      <c r="A40" s="419" t="s">
        <v>78</v>
      </c>
      <c r="B40" s="78"/>
      <c r="C40" s="429"/>
      <c r="D40" s="432"/>
      <c r="E40" s="71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716"/>
      <c r="Q40" s="159"/>
    </row>
    <row r="41" spans="1:17" x14ac:dyDescent="0.25">
      <c r="A41" s="420"/>
      <c r="B41" s="423" t="s">
        <v>72</v>
      </c>
      <c r="C41" s="270" t="s">
        <v>19</v>
      </c>
      <c r="D41" s="228">
        <f>SUM(D42:D45)</f>
        <v>125000</v>
      </c>
      <c r="E41" s="71"/>
      <c r="F41" s="228">
        <f t="shared" ref="F41:O41" si="10">SUM(F42:F45)</f>
        <v>30000</v>
      </c>
      <c r="G41" s="228">
        <f t="shared" si="10"/>
        <v>95000</v>
      </c>
      <c r="H41" s="228">
        <f t="shared" si="10"/>
        <v>0</v>
      </c>
      <c r="I41" s="228">
        <f t="shared" si="10"/>
        <v>0</v>
      </c>
      <c r="J41" s="228">
        <f t="shared" si="10"/>
        <v>0</v>
      </c>
      <c r="K41" s="228">
        <f t="shared" si="10"/>
        <v>0</v>
      </c>
      <c r="L41" s="228">
        <f t="shared" si="10"/>
        <v>0</v>
      </c>
      <c r="M41" s="228">
        <f t="shared" si="10"/>
        <v>0</v>
      </c>
      <c r="N41" s="228">
        <f t="shared" si="10"/>
        <v>0</v>
      </c>
      <c r="O41" s="228">
        <f t="shared" si="10"/>
        <v>0</v>
      </c>
      <c r="P41" s="385"/>
      <c r="Q41" s="159"/>
    </row>
    <row r="42" spans="1:17" outlineLevel="1" x14ac:dyDescent="0.25">
      <c r="A42" s="261" t="str" cm="1">
        <f t="array" aca="1" ref="A42" ca="1">HYPERLINK(CELL("адрес",Финансы!A7),"источник")</f>
        <v>источник</v>
      </c>
      <c r="B42" s="424" t="s">
        <v>294</v>
      </c>
      <c r="C42" s="270" t="s">
        <v>19</v>
      </c>
      <c r="D42" s="250">
        <f>SUM(F42:O42)</f>
        <v>30000</v>
      </c>
      <c r="E42" s="71"/>
      <c r="F42" s="230">
        <f>Финансы!F7</f>
        <v>30000</v>
      </c>
      <c r="G42" s="230">
        <f>Финансы!G7</f>
        <v>0</v>
      </c>
      <c r="H42" s="230">
        <f>Финансы!H7</f>
        <v>0</v>
      </c>
      <c r="I42" s="230">
        <f>Финансы!I7</f>
        <v>0</v>
      </c>
      <c r="J42" s="230">
        <f>Финансы!J7</f>
        <v>0</v>
      </c>
      <c r="K42" s="230">
        <f>Финансы!K7</f>
        <v>0</v>
      </c>
      <c r="L42" s="230">
        <f>Финансы!L7</f>
        <v>0</v>
      </c>
      <c r="M42" s="230">
        <f>Финансы!M7</f>
        <v>0</v>
      </c>
      <c r="N42" s="230">
        <f>Финансы!N7</f>
        <v>0</v>
      </c>
      <c r="O42" s="230">
        <f>Финансы!O7</f>
        <v>0</v>
      </c>
      <c r="P42" s="386"/>
      <c r="Q42" s="159"/>
    </row>
    <row r="43" spans="1:17" outlineLevel="1" x14ac:dyDescent="0.25">
      <c r="A43" s="421"/>
      <c r="B43" s="424" t="s">
        <v>80</v>
      </c>
      <c r="C43" s="270" t="s">
        <v>19</v>
      </c>
      <c r="D43" s="250">
        <f>SUM(F43:O43)</f>
        <v>0</v>
      </c>
      <c r="E43" s="71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386"/>
      <c r="Q43" s="159"/>
    </row>
    <row r="44" spans="1:17" outlineLevel="1" x14ac:dyDescent="0.25">
      <c r="A44" s="421"/>
      <c r="B44" s="424" t="s">
        <v>81</v>
      </c>
      <c r="C44" s="270" t="s">
        <v>19</v>
      </c>
      <c r="D44" s="250">
        <f>SUM(F44:O44)</f>
        <v>0</v>
      </c>
      <c r="E44" s="71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386"/>
      <c r="Q44" s="159"/>
    </row>
    <row r="45" spans="1:17" outlineLevel="1" x14ac:dyDescent="0.25">
      <c r="A45" s="261" t="str" cm="1">
        <f t="array" aca="1" ref="A45" ca="1">HYPERLINK(CELL("адрес",Финансы!A22),"источник")</f>
        <v>источник</v>
      </c>
      <c r="B45" s="424" t="s">
        <v>237</v>
      </c>
      <c r="C45" s="270" t="s">
        <v>19</v>
      </c>
      <c r="D45" s="250">
        <f>SUM(F45:O45)</f>
        <v>95000</v>
      </c>
      <c r="E45" s="71"/>
      <c r="F45" s="250">
        <f>Финансы!F32</f>
        <v>0</v>
      </c>
      <c r="G45" s="250">
        <f>Финансы!G32</f>
        <v>95000</v>
      </c>
      <c r="H45" s="250">
        <f>Финансы!H32</f>
        <v>0</v>
      </c>
      <c r="I45" s="250">
        <f>Финансы!I32</f>
        <v>0</v>
      </c>
      <c r="J45" s="250">
        <f>Финансы!J32</f>
        <v>0</v>
      </c>
      <c r="K45" s="250">
        <f>Финансы!K32</f>
        <v>0</v>
      </c>
      <c r="L45" s="250">
        <f>Финансы!L32</f>
        <v>0</v>
      </c>
      <c r="M45" s="250">
        <f>Финансы!M32</f>
        <v>0</v>
      </c>
      <c r="N45" s="250">
        <f>Финансы!N32</f>
        <v>0</v>
      </c>
      <c r="O45" s="250">
        <f>Финансы!O32</f>
        <v>0</v>
      </c>
      <c r="P45" s="386"/>
      <c r="Q45" s="159"/>
    </row>
    <row r="46" spans="1:17" outlineLevel="1" x14ac:dyDescent="0.25">
      <c r="A46" s="421"/>
      <c r="B46" s="425"/>
      <c r="C46" s="270" t="s">
        <v>19</v>
      </c>
      <c r="D46" s="433"/>
      <c r="E46" s="7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235"/>
      <c r="Q46" s="159"/>
    </row>
    <row r="47" spans="1:17" x14ac:dyDescent="0.25">
      <c r="A47" s="420"/>
      <c r="B47" s="423" t="s">
        <v>73</v>
      </c>
      <c r="C47" s="270" t="s">
        <v>19</v>
      </c>
      <c r="D47" s="228">
        <f>SUM(D48:D50)</f>
        <v>-95000</v>
      </c>
      <c r="E47" s="71"/>
      <c r="F47" s="228">
        <f t="shared" ref="F47:O47" si="11">SUM(F48:F50)</f>
        <v>0</v>
      </c>
      <c r="G47" s="228">
        <f t="shared" si="11"/>
        <v>0</v>
      </c>
      <c r="H47" s="228">
        <f t="shared" si="11"/>
        <v>-11875</v>
      </c>
      <c r="I47" s="228">
        <f t="shared" si="11"/>
        <v>-11875</v>
      </c>
      <c r="J47" s="228">
        <f t="shared" si="11"/>
        <v>-11875</v>
      </c>
      <c r="K47" s="228">
        <f t="shared" si="11"/>
        <v>-11875</v>
      </c>
      <c r="L47" s="228">
        <f t="shared" si="11"/>
        <v>-11875</v>
      </c>
      <c r="M47" s="228">
        <f t="shared" si="11"/>
        <v>-11875</v>
      </c>
      <c r="N47" s="228">
        <f t="shared" si="11"/>
        <v>-11875</v>
      </c>
      <c r="O47" s="228">
        <f t="shared" si="11"/>
        <v>-11875</v>
      </c>
      <c r="P47" s="385"/>
      <c r="Q47" s="159"/>
    </row>
    <row r="48" spans="1:17" outlineLevel="1" x14ac:dyDescent="0.25">
      <c r="A48" s="261" t="str" cm="1">
        <f t="array" aca="1" ref="A48" ca="1">HYPERLINK(CELL("адрес",Финансы!A23),"источник")</f>
        <v>источник</v>
      </c>
      <c r="B48" s="424" t="s">
        <v>344</v>
      </c>
      <c r="C48" s="270" t="s">
        <v>19</v>
      </c>
      <c r="D48" s="250">
        <f>SUM(F48:O48)</f>
        <v>-95000</v>
      </c>
      <c r="E48" s="71"/>
      <c r="F48" s="230">
        <f>-Финансы!F33</f>
        <v>0</v>
      </c>
      <c r="G48" s="230">
        <f>-Финансы!G33</f>
        <v>0</v>
      </c>
      <c r="H48" s="230">
        <f>-Финансы!H33</f>
        <v>-11875</v>
      </c>
      <c r="I48" s="230">
        <f>-Финансы!I33</f>
        <v>-11875</v>
      </c>
      <c r="J48" s="230">
        <f>-Финансы!J33</f>
        <v>-11875</v>
      </c>
      <c r="K48" s="230">
        <f>-Финансы!K33</f>
        <v>-11875</v>
      </c>
      <c r="L48" s="230">
        <f>-Финансы!L33</f>
        <v>-11875</v>
      </c>
      <c r="M48" s="230">
        <f>-Финансы!M33</f>
        <v>-11875</v>
      </c>
      <c r="N48" s="230">
        <f>-Финансы!N33</f>
        <v>-11875</v>
      </c>
      <c r="O48" s="230">
        <f>-Финансы!O33</f>
        <v>-11875</v>
      </c>
      <c r="P48" s="386"/>
      <c r="Q48" s="159"/>
    </row>
    <row r="49" spans="1:17" x14ac:dyDescent="0.25">
      <c r="A49" s="71"/>
      <c r="B49" s="71"/>
      <c r="C49" s="428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1:17" outlineLevel="1" x14ac:dyDescent="0.25">
      <c r="A50" s="421"/>
      <c r="B50" s="424" t="s">
        <v>82</v>
      </c>
      <c r="C50" s="270" t="s">
        <v>19</v>
      </c>
      <c r="D50" s="250">
        <f>SUM(F50:O50)</f>
        <v>0</v>
      </c>
      <c r="E50" s="71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386"/>
      <c r="Q50" s="159"/>
    </row>
    <row r="51" spans="1:17" outlineLevel="1" x14ac:dyDescent="0.25">
      <c r="A51" s="421"/>
      <c r="B51" s="426"/>
      <c r="C51" s="270"/>
      <c r="D51" s="434"/>
      <c r="E51" s="71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717"/>
      <c r="Q51" s="159"/>
    </row>
    <row r="52" spans="1:17" x14ac:dyDescent="0.25">
      <c r="A52" s="420"/>
      <c r="B52" s="423" t="s">
        <v>79</v>
      </c>
      <c r="C52" s="270" t="s">
        <v>19</v>
      </c>
      <c r="D52" s="228">
        <f>D41+D47</f>
        <v>30000</v>
      </c>
      <c r="E52" s="71"/>
      <c r="F52" s="228">
        <f t="shared" ref="F52:O52" si="12">F41+F47</f>
        <v>30000</v>
      </c>
      <c r="G52" s="228">
        <f t="shared" si="12"/>
        <v>95000</v>
      </c>
      <c r="H52" s="228">
        <f t="shared" si="12"/>
        <v>-11875</v>
      </c>
      <c r="I52" s="228">
        <f t="shared" si="12"/>
        <v>-11875</v>
      </c>
      <c r="J52" s="228">
        <f t="shared" si="12"/>
        <v>-11875</v>
      </c>
      <c r="K52" s="228">
        <f t="shared" si="12"/>
        <v>-11875</v>
      </c>
      <c r="L52" s="228">
        <f t="shared" si="12"/>
        <v>-11875</v>
      </c>
      <c r="M52" s="228">
        <f t="shared" si="12"/>
        <v>-11875</v>
      </c>
      <c r="N52" s="228">
        <f t="shared" si="12"/>
        <v>-11875</v>
      </c>
      <c r="O52" s="228">
        <f t="shared" si="12"/>
        <v>-11875</v>
      </c>
      <c r="P52" s="385"/>
      <c r="Q52" s="159"/>
    </row>
    <row r="53" spans="1:17" ht="6.4" customHeight="1" x14ac:dyDescent="0.25">
      <c r="A53" s="71"/>
      <c r="B53" s="71"/>
      <c r="C53" s="404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159"/>
    </row>
    <row r="54" spans="1:17" x14ac:dyDescent="0.25">
      <c r="A54" s="419" t="s">
        <v>83</v>
      </c>
      <c r="B54" s="78"/>
      <c r="C54" s="429"/>
      <c r="D54" s="432"/>
      <c r="E54" s="71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716"/>
      <c r="Q54" s="159"/>
    </row>
    <row r="55" spans="1:17" x14ac:dyDescent="0.25">
      <c r="A55" s="421"/>
      <c r="B55" s="424" t="s">
        <v>72</v>
      </c>
      <c r="C55" s="270" t="s">
        <v>19</v>
      </c>
      <c r="D55" s="250">
        <f>SUM(F55:O55)</f>
        <v>1256288.2590691657</v>
      </c>
      <c r="E55" s="71"/>
      <c r="F55" s="230">
        <f t="shared" ref="F55:O55" si="13">F7+F30+F41</f>
        <v>33666.666666666664</v>
      </c>
      <c r="G55" s="230">
        <f t="shared" si="13"/>
        <v>106333.33333333333</v>
      </c>
      <c r="H55" s="230">
        <f t="shared" si="13"/>
        <v>46306</v>
      </c>
      <c r="I55" s="230">
        <f t="shared" si="13"/>
        <v>135478</v>
      </c>
      <c r="J55" s="230">
        <f t="shared" si="13"/>
        <v>140894.32000000004</v>
      </c>
      <c r="K55" s="230">
        <f t="shared" si="13"/>
        <v>146527.29280000002</v>
      </c>
      <c r="L55" s="230">
        <f t="shared" si="13"/>
        <v>152385.584512</v>
      </c>
      <c r="M55" s="230">
        <f t="shared" si="13"/>
        <v>158478.20789248002</v>
      </c>
      <c r="N55" s="230">
        <f t="shared" si="13"/>
        <v>164814.5362081792</v>
      </c>
      <c r="O55" s="230">
        <f t="shared" si="13"/>
        <v>171404.31765650638</v>
      </c>
      <c r="P55" s="386"/>
      <c r="Q55" s="159"/>
    </row>
    <row r="56" spans="1:17" x14ac:dyDescent="0.25">
      <c r="A56" s="421"/>
      <c r="B56" s="424" t="s">
        <v>73</v>
      </c>
      <c r="C56" s="270" t="s">
        <v>19</v>
      </c>
      <c r="D56" s="250">
        <f ca="1">SUM(F56:O56)</f>
        <v>-892542.58743942669</v>
      </c>
      <c r="E56" s="71"/>
      <c r="F56" s="230">
        <f t="shared" ref="F56:O56" ca="1" si="14">F11+F34+F47</f>
        <v>-30088.8024</v>
      </c>
      <c r="G56" s="230">
        <f t="shared" ca="1" si="14"/>
        <v>-81940.552057599998</v>
      </c>
      <c r="H56" s="230">
        <f t="shared" ca="1" si="14"/>
        <v>-72460.467301639408</v>
      </c>
      <c r="I56" s="230">
        <f t="shared" ca="1" si="14"/>
        <v>-96370.438401815773</v>
      </c>
      <c r="J56" s="230">
        <f t="shared" ca="1" si="14"/>
        <v>-97488.564959515817</v>
      </c>
      <c r="K56" s="230">
        <f t="shared" ca="1" si="14"/>
        <v>-98764.454612977788</v>
      </c>
      <c r="L56" s="230">
        <f t="shared" ca="1" si="14"/>
        <v>-100010.20657025707</v>
      </c>
      <c r="M56" s="230">
        <f t="shared" ca="1" si="14"/>
        <v>-101272.62652112021</v>
      </c>
      <c r="N56" s="230">
        <f t="shared" ca="1" si="14"/>
        <v>-106217.96483944032</v>
      </c>
      <c r="O56" s="230">
        <f t="shared" ca="1" si="14"/>
        <v>-107928.50977506037</v>
      </c>
      <c r="P56" s="386"/>
      <c r="Q56" s="159"/>
    </row>
    <row r="57" spans="1:17" ht="7.15" customHeight="1" x14ac:dyDescent="0.25">
      <c r="A57" s="421"/>
      <c r="B57" s="424"/>
      <c r="C57" s="270"/>
      <c r="D57" s="250"/>
      <c r="E57" s="71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386"/>
      <c r="Q57" s="159"/>
    </row>
    <row r="58" spans="1:17" ht="15.75" thickBot="1" x14ac:dyDescent="0.3">
      <c r="A58" s="422"/>
      <c r="B58" s="427" t="s">
        <v>84</v>
      </c>
      <c r="C58" s="430" t="s">
        <v>19</v>
      </c>
      <c r="D58" s="416">
        <f t="shared" ref="D58:O58" ca="1" si="15">D5+D55+D56</f>
        <v>363745.67162973899</v>
      </c>
      <c r="E58" s="413"/>
      <c r="F58" s="416">
        <f t="shared" ca="1" si="15"/>
        <v>3577.8642666666638</v>
      </c>
      <c r="G58" s="416">
        <f t="shared" ca="1" si="15"/>
        <v>27970.645542399987</v>
      </c>
      <c r="H58" s="416">
        <f t="shared" ca="1" si="15"/>
        <v>1816.1782407605788</v>
      </c>
      <c r="I58" s="416">
        <f t="shared" ca="1" si="15"/>
        <v>40923.739838944806</v>
      </c>
      <c r="J58" s="416">
        <f t="shared" ca="1" si="15"/>
        <v>84329.494879429025</v>
      </c>
      <c r="K58" s="416">
        <f t="shared" ca="1" si="15"/>
        <v>132092.33306645125</v>
      </c>
      <c r="L58" s="416">
        <f t="shared" ca="1" si="15"/>
        <v>184467.71100819414</v>
      </c>
      <c r="M58" s="416">
        <f t="shared" ca="1" si="15"/>
        <v>241673.29237955395</v>
      </c>
      <c r="N58" s="416">
        <f t="shared" ca="1" si="15"/>
        <v>300269.86374829285</v>
      </c>
      <c r="O58" s="416">
        <f t="shared" ca="1" si="15"/>
        <v>363745.67162973888</v>
      </c>
      <c r="P58" s="386"/>
      <c r="Q58" s="159"/>
    </row>
    <row r="59" spans="1:17" x14ac:dyDescent="0.25">
      <c r="A59" s="71"/>
      <c r="B59" s="71"/>
      <c r="C59" s="404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159"/>
    </row>
    <row r="60" spans="1:17" x14ac:dyDescent="0.25">
      <c r="A60" s="71"/>
      <c r="B60" s="71"/>
      <c r="C60" s="404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159"/>
    </row>
    <row r="61" spans="1:17" x14ac:dyDescent="0.25">
      <c r="A61" s="71"/>
      <c r="B61" s="71"/>
      <c r="C61" s="404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5">
      <c r="A62" s="71"/>
      <c r="B62" s="401"/>
      <c r="C62" s="404"/>
      <c r="D62" s="71"/>
      <c r="E62" s="71"/>
      <c r="F62" s="40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x14ac:dyDescent="0.25">
      <c r="A63" s="71"/>
      <c r="B63" s="71"/>
      <c r="C63" s="404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 x14ac:dyDescent="0.25">
      <c r="A64" s="71"/>
      <c r="B64" s="174" t="str" cm="1">
        <f t="array" aca="1" ref="B64" ca="1">HYPERLINK(CELL("адрес",БДР!$A$1),"Перейти на лист БДР")</f>
        <v>Перейти на лист БДР</v>
      </c>
      <c r="C64" s="404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2:3" x14ac:dyDescent="0.25">
      <c r="B65" s="174" t="str" cm="1">
        <f t="array" aca="1" ref="B65" ca="1">HYPERLINK(CELL("адрес",Баланс!$A$1),"Перейти на лист Баланс")</f>
        <v>Перейти на лист Баланс</v>
      </c>
      <c r="C65" s="404"/>
    </row>
    <row r="66" spans="2:3" x14ac:dyDescent="0.25">
      <c r="B66" s="575" t="str" cm="1">
        <f t="array" aca="1" ref="B66" ca="1">HYPERLINK(CELL("адрес",Дашборд_ИтогТабл!$A$1),"Перейти на лист Дашборд_1")</f>
        <v>Перейти на лист Дашборд_1</v>
      </c>
      <c r="C66" s="404"/>
    </row>
    <row r="67" spans="2:3" x14ac:dyDescent="0.25">
      <c r="B67" s="575" t="str" cm="1">
        <f t="array" aca="1" ref="B67" ca="1">HYPERLINK(CELL("адрес",Дашборд_Основной!$A$1),"Перейти на лист Дашборд_Общий")</f>
        <v>Перейти на лист Дашборд_Общий</v>
      </c>
      <c r="C67" s="404"/>
    </row>
    <row r="68" spans="2:3" x14ac:dyDescent="0.25">
      <c r="B68" s="575" t="str" cm="1">
        <f t="array" aca="1" ref="B68" ca="1">HYPERLINK(CELL("адрес",Дашборд_налоги!$A$1),"Перейти на лист Дашборд_Налоги")</f>
        <v>Перейти на лист Дашборд_Налоги</v>
      </c>
      <c r="C68" s="404"/>
    </row>
    <row r="69" spans="2:3" x14ac:dyDescent="0.25">
      <c r="B69" s="71"/>
      <c r="C69" s="404"/>
    </row>
    <row r="70" spans="2:3" x14ac:dyDescent="0.25">
      <c r="B70" s="71"/>
      <c r="C70" s="404"/>
    </row>
    <row r="71" spans="2:3" x14ac:dyDescent="0.25">
      <c r="B71" s="71"/>
      <c r="C71" s="404"/>
    </row>
    <row r="72" spans="2:3" x14ac:dyDescent="0.25">
      <c r="B72" s="71"/>
      <c r="C72" s="404"/>
    </row>
    <row r="73" spans="2:3" x14ac:dyDescent="0.25">
      <c r="B73" s="71"/>
      <c r="C73" s="404"/>
    </row>
    <row r="74" spans="2:3" x14ac:dyDescent="0.25">
      <c r="B74" s="71"/>
      <c r="C74" s="404"/>
    </row>
    <row r="75" spans="2:3" x14ac:dyDescent="0.25">
      <c r="B75" s="71"/>
      <c r="C75" s="404"/>
    </row>
    <row r="76" spans="2:3" x14ac:dyDescent="0.25">
      <c r="B76" s="71"/>
      <c r="C76" s="404"/>
    </row>
    <row r="77" spans="2:3" x14ac:dyDescent="0.25">
      <c r="B77" s="71"/>
      <c r="C77" s="404"/>
    </row>
    <row r="78" spans="2:3" x14ac:dyDescent="0.25">
      <c r="B78" s="71"/>
      <c r="C78" s="404"/>
    </row>
    <row r="79" spans="2:3" x14ac:dyDescent="0.25">
      <c r="B79" s="71"/>
      <c r="C79" s="404"/>
    </row>
    <row r="80" spans="2:3" x14ac:dyDescent="0.25">
      <c r="B80" s="71"/>
      <c r="C80" s="404"/>
    </row>
    <row r="81" spans="3:3" x14ac:dyDescent="0.25">
      <c r="C81" s="404"/>
    </row>
    <row r="82" spans="3:3" x14ac:dyDescent="0.25">
      <c r="C82" s="404"/>
    </row>
    <row r="83" spans="3:3" x14ac:dyDescent="0.25">
      <c r="C83" s="404"/>
    </row>
    <row r="84" spans="3:3" x14ac:dyDescent="0.25">
      <c r="C84" s="404"/>
    </row>
    <row r="85" spans="3:3" x14ac:dyDescent="0.25">
      <c r="C85" s="404"/>
    </row>
    <row r="86" spans="3:3" x14ac:dyDescent="0.25">
      <c r="C86" s="404"/>
    </row>
    <row r="87" spans="3:3" x14ac:dyDescent="0.25">
      <c r="C87" s="404"/>
    </row>
    <row r="88" spans="3:3" x14ac:dyDescent="0.25">
      <c r="C88" s="404"/>
    </row>
    <row r="89" spans="3:3" x14ac:dyDescent="0.25">
      <c r="C89" s="404"/>
    </row>
    <row r="90" spans="3:3" x14ac:dyDescent="0.25">
      <c r="C90" s="404"/>
    </row>
    <row r="91" spans="3:3" x14ac:dyDescent="0.25">
      <c r="C91" s="404"/>
    </row>
    <row r="92" spans="3:3" x14ac:dyDescent="0.25">
      <c r="C92" s="404"/>
    </row>
    <row r="93" spans="3:3" x14ac:dyDescent="0.25">
      <c r="C93" s="404"/>
    </row>
    <row r="94" spans="3:3" x14ac:dyDescent="0.25">
      <c r="C94" s="404"/>
    </row>
    <row r="95" spans="3:3" x14ac:dyDescent="0.25">
      <c r="C95" s="404"/>
    </row>
    <row r="96" spans="3:3" x14ac:dyDescent="0.25">
      <c r="C96" s="404"/>
    </row>
    <row r="97" spans="3:3" x14ac:dyDescent="0.25">
      <c r="C97" s="404"/>
    </row>
    <row r="98" spans="3:3" x14ac:dyDescent="0.25">
      <c r="C98" s="404"/>
    </row>
    <row r="99" spans="3:3" x14ac:dyDescent="0.25">
      <c r="C99" s="404"/>
    </row>
    <row r="100" spans="3:3" x14ac:dyDescent="0.25">
      <c r="C100" s="404"/>
    </row>
    <row r="101" spans="3:3" x14ac:dyDescent="0.25">
      <c r="C101" s="404"/>
    </row>
    <row r="102" spans="3:3" x14ac:dyDescent="0.25">
      <c r="C102" s="404"/>
    </row>
    <row r="103" spans="3:3" x14ac:dyDescent="0.25">
      <c r="C103" s="404"/>
    </row>
    <row r="104" spans="3:3" x14ac:dyDescent="0.25">
      <c r="C104" s="404"/>
    </row>
    <row r="105" spans="3:3" x14ac:dyDescent="0.25">
      <c r="C105" s="404"/>
    </row>
    <row r="106" spans="3:3" x14ac:dyDescent="0.25">
      <c r="C106" s="404"/>
    </row>
    <row r="107" spans="3:3" x14ac:dyDescent="0.25">
      <c r="C107" s="404"/>
    </row>
    <row r="108" spans="3:3" x14ac:dyDescent="0.25">
      <c r="C108" s="404"/>
    </row>
    <row r="109" spans="3:3" x14ac:dyDescent="0.25">
      <c r="C109" s="404"/>
    </row>
    <row r="110" spans="3:3" x14ac:dyDescent="0.25">
      <c r="C110" s="404"/>
    </row>
    <row r="111" spans="3:3" x14ac:dyDescent="0.25">
      <c r="C111" s="404"/>
    </row>
    <row r="112" spans="3:3" x14ac:dyDescent="0.25">
      <c r="C112" s="404"/>
    </row>
    <row r="113" spans="3:3" x14ac:dyDescent="0.25">
      <c r="C113" s="404"/>
    </row>
    <row r="114" spans="3:3" x14ac:dyDescent="0.25">
      <c r="C114" s="404"/>
    </row>
    <row r="115" spans="3:3" x14ac:dyDescent="0.25">
      <c r="C115" s="404"/>
    </row>
    <row r="116" spans="3:3" x14ac:dyDescent="0.25">
      <c r="C116" s="404"/>
    </row>
    <row r="117" spans="3:3" x14ac:dyDescent="0.25">
      <c r="C117" s="404"/>
    </row>
    <row r="118" spans="3:3" x14ac:dyDescent="0.25">
      <c r="C118" s="404"/>
    </row>
    <row r="119" spans="3:3" x14ac:dyDescent="0.25">
      <c r="C119" s="404"/>
    </row>
    <row r="120" spans="3:3" x14ac:dyDescent="0.25">
      <c r="C120" s="404"/>
    </row>
    <row r="121" spans="3:3" x14ac:dyDescent="0.25">
      <c r="C121" s="404"/>
    </row>
    <row r="122" spans="3:3" x14ac:dyDescent="0.25">
      <c r="C122" s="404"/>
    </row>
    <row r="123" spans="3:3" x14ac:dyDescent="0.25">
      <c r="C123" s="404"/>
    </row>
    <row r="124" spans="3:3" x14ac:dyDescent="0.25">
      <c r="C124" s="404"/>
    </row>
    <row r="125" spans="3:3" x14ac:dyDescent="0.25">
      <c r="C125" s="404"/>
    </row>
    <row r="126" spans="3:3" x14ac:dyDescent="0.25">
      <c r="C126" s="404"/>
    </row>
    <row r="127" spans="3:3" x14ac:dyDescent="0.25">
      <c r="C127" s="404"/>
    </row>
    <row r="128" spans="3:3" x14ac:dyDescent="0.25">
      <c r="C128" s="404"/>
    </row>
    <row r="129" spans="3:3" x14ac:dyDescent="0.25">
      <c r="C129" s="404"/>
    </row>
    <row r="130" spans="3:3" x14ac:dyDescent="0.25">
      <c r="C130" s="404"/>
    </row>
    <row r="131" spans="3:3" x14ac:dyDescent="0.25">
      <c r="C131" s="404"/>
    </row>
    <row r="132" spans="3:3" x14ac:dyDescent="0.25">
      <c r="C132" s="404"/>
    </row>
    <row r="133" spans="3:3" x14ac:dyDescent="0.25">
      <c r="C133" s="404"/>
    </row>
    <row r="134" spans="3:3" x14ac:dyDescent="0.25">
      <c r="C134" s="404"/>
    </row>
    <row r="135" spans="3:3" x14ac:dyDescent="0.25">
      <c r="C135" s="404"/>
    </row>
    <row r="136" spans="3:3" x14ac:dyDescent="0.25">
      <c r="C136" s="404"/>
    </row>
    <row r="137" spans="3:3" x14ac:dyDescent="0.25">
      <c r="C137" s="404"/>
    </row>
    <row r="138" spans="3:3" x14ac:dyDescent="0.25">
      <c r="C138" s="404"/>
    </row>
    <row r="139" spans="3:3" x14ac:dyDescent="0.25">
      <c r="C139" s="404"/>
    </row>
    <row r="140" spans="3:3" x14ac:dyDescent="0.25">
      <c r="C140" s="404"/>
    </row>
    <row r="141" spans="3:3" x14ac:dyDescent="0.25">
      <c r="C141" s="404"/>
    </row>
    <row r="142" spans="3:3" x14ac:dyDescent="0.25">
      <c r="C142" s="404"/>
    </row>
    <row r="143" spans="3:3" x14ac:dyDescent="0.25">
      <c r="C143" s="404"/>
    </row>
    <row r="144" spans="3:3" x14ac:dyDescent="0.25">
      <c r="C144" s="404"/>
    </row>
    <row r="145" spans="3:3" x14ac:dyDescent="0.25">
      <c r="C145" s="404"/>
    </row>
    <row r="146" spans="3:3" x14ac:dyDescent="0.25">
      <c r="C146" s="404"/>
    </row>
    <row r="147" spans="3:3" x14ac:dyDescent="0.25">
      <c r="C147" s="404"/>
    </row>
    <row r="148" spans="3:3" x14ac:dyDescent="0.25">
      <c r="C148" s="404"/>
    </row>
    <row r="149" spans="3:3" x14ac:dyDescent="0.25">
      <c r="C149" s="404"/>
    </row>
    <row r="150" spans="3:3" x14ac:dyDescent="0.25">
      <c r="C150" s="404"/>
    </row>
    <row r="151" spans="3:3" x14ac:dyDescent="0.25">
      <c r="C151" s="404"/>
    </row>
    <row r="152" spans="3:3" x14ac:dyDescent="0.25">
      <c r="C152" s="404"/>
    </row>
    <row r="153" spans="3:3" x14ac:dyDescent="0.25">
      <c r="C153" s="404"/>
    </row>
    <row r="154" spans="3:3" x14ac:dyDescent="0.25">
      <c r="C154" s="404"/>
    </row>
    <row r="155" spans="3:3" x14ac:dyDescent="0.25">
      <c r="C155" s="404"/>
    </row>
    <row r="156" spans="3:3" x14ac:dyDescent="0.25">
      <c r="C156" s="404"/>
    </row>
    <row r="157" spans="3:3" x14ac:dyDescent="0.25">
      <c r="C157" s="404"/>
    </row>
    <row r="158" spans="3:3" x14ac:dyDescent="0.25">
      <c r="C158" s="404"/>
    </row>
    <row r="159" spans="3:3" x14ac:dyDescent="0.25">
      <c r="C159" s="404"/>
    </row>
    <row r="160" spans="3:3" x14ac:dyDescent="0.25">
      <c r="C160" s="404"/>
    </row>
    <row r="161" spans="3:3" x14ac:dyDescent="0.25">
      <c r="C161" s="404"/>
    </row>
    <row r="162" spans="3:3" x14ac:dyDescent="0.25">
      <c r="C162" s="404"/>
    </row>
    <row r="163" spans="3:3" x14ac:dyDescent="0.25">
      <c r="C163" s="404"/>
    </row>
    <row r="164" spans="3:3" x14ac:dyDescent="0.25">
      <c r="C164" s="404"/>
    </row>
    <row r="165" spans="3:3" x14ac:dyDescent="0.25">
      <c r="C165" s="404"/>
    </row>
    <row r="166" spans="3:3" x14ac:dyDescent="0.25">
      <c r="C166" s="404"/>
    </row>
    <row r="167" spans="3:3" x14ac:dyDescent="0.25">
      <c r="C167" s="404"/>
    </row>
    <row r="168" spans="3:3" x14ac:dyDescent="0.25">
      <c r="C168" s="404"/>
    </row>
    <row r="169" spans="3:3" x14ac:dyDescent="0.25">
      <c r="C169" s="404"/>
    </row>
    <row r="170" spans="3:3" x14ac:dyDescent="0.25">
      <c r="C170" s="404"/>
    </row>
    <row r="171" spans="3:3" x14ac:dyDescent="0.25">
      <c r="C171" s="404"/>
    </row>
    <row r="172" spans="3:3" x14ac:dyDescent="0.25">
      <c r="C172" s="404"/>
    </row>
    <row r="173" spans="3:3" x14ac:dyDescent="0.25">
      <c r="C173" s="404"/>
    </row>
    <row r="174" spans="3:3" x14ac:dyDescent="0.25">
      <c r="C174" s="404"/>
    </row>
    <row r="175" spans="3:3" x14ac:dyDescent="0.25">
      <c r="C175" s="404"/>
    </row>
    <row r="176" spans="3:3" x14ac:dyDescent="0.25">
      <c r="C176" s="404"/>
    </row>
    <row r="177" spans="3:3" x14ac:dyDescent="0.25">
      <c r="C177" s="404"/>
    </row>
    <row r="178" spans="3:3" x14ac:dyDescent="0.25">
      <c r="C178" s="404"/>
    </row>
    <row r="179" spans="3:3" x14ac:dyDescent="0.25">
      <c r="C179" s="404"/>
    </row>
    <row r="180" spans="3:3" x14ac:dyDescent="0.25">
      <c r="C180" s="404"/>
    </row>
    <row r="181" spans="3:3" x14ac:dyDescent="0.25">
      <c r="C181" s="404"/>
    </row>
    <row r="182" spans="3:3" x14ac:dyDescent="0.25">
      <c r="C182" s="404"/>
    </row>
    <row r="183" spans="3:3" x14ac:dyDescent="0.25">
      <c r="C183" s="404"/>
    </row>
    <row r="184" spans="3:3" x14ac:dyDescent="0.25">
      <c r="C184" s="404"/>
    </row>
    <row r="185" spans="3:3" x14ac:dyDescent="0.25">
      <c r="C185" s="404"/>
    </row>
    <row r="186" spans="3:3" x14ac:dyDescent="0.25">
      <c r="C186" s="404"/>
    </row>
    <row r="187" spans="3:3" x14ac:dyDescent="0.25">
      <c r="C187" s="404"/>
    </row>
    <row r="188" spans="3:3" x14ac:dyDescent="0.25">
      <c r="C188" s="404"/>
    </row>
    <row r="189" spans="3:3" x14ac:dyDescent="0.25">
      <c r="C189" s="404"/>
    </row>
    <row r="190" spans="3:3" x14ac:dyDescent="0.25">
      <c r="C190" s="404"/>
    </row>
  </sheetData>
  <hyperlinks>
    <hyperlink ref="M1" location="Контроль!A1" display="Контроль!A1" xr:uid="{04F13C2B-932C-48F1-9741-ECF0A4C86CF9}"/>
  </hyperlinks>
  <pageMargins left="0.70866141732283472" right="0.70866141732283472" top="0.74803149606299213" bottom="0.74803149606299213" header="0.31496062992125984" footer="0.31496062992125984"/>
  <pageSetup paperSize="9" scale="74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7841-A136-47A9-8124-61A4B27ABAE5}">
  <sheetPr codeName="Лист6">
    <tabColor theme="5" tint="0.79998168889431442"/>
    <outlinePr summaryBelow="0" summaryRight="0"/>
    <pageSetUpPr fitToPage="1"/>
  </sheetPr>
  <dimension ref="A1:AD51"/>
  <sheetViews>
    <sheetView zoomScale="115" zoomScaleNormal="115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M1" sqref="M1"/>
    </sheetView>
  </sheetViews>
  <sheetFormatPr defaultRowHeight="15" outlineLevelRow="1" outlineLevelCol="1" x14ac:dyDescent="0.25"/>
  <cols>
    <col min="1" max="1" width="9" customWidth="1"/>
    <col min="2" max="2" width="36" style="2" customWidth="1"/>
    <col min="3" max="3" width="8.140625" style="4" customWidth="1"/>
    <col min="4" max="4" width="8.42578125" hidden="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1011</v>
      </c>
      <c r="B1" s="167"/>
      <c r="C1" s="447"/>
      <c r="D1" s="71"/>
      <c r="E1" s="71"/>
      <c r="F1" s="71"/>
      <c r="G1" s="71"/>
      <c r="H1" s="71"/>
      <c r="J1" s="71"/>
      <c r="K1" s="71"/>
      <c r="L1" s="71"/>
      <c r="M1" s="154" t="str">
        <f ca="1">Контроль!$Q$1</f>
        <v>Ошибок нет</v>
      </c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Паспорт_ФМ_резидент!$B$7</f>
        <v>Название инвест. проект 01</v>
      </c>
      <c r="B2" s="167"/>
      <c r="C2" s="447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x14ac:dyDescent="0.25">
      <c r="A3" s="127" t="s">
        <v>2</v>
      </c>
      <c r="B3" s="127" t="s">
        <v>3</v>
      </c>
      <c r="C3" s="127" t="s">
        <v>12</v>
      </c>
      <c r="D3" s="127"/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440" t="s">
        <v>62</v>
      </c>
      <c r="B5" s="443" t="s">
        <v>30</v>
      </c>
      <c r="C5" s="244" t="s">
        <v>19</v>
      </c>
      <c r="D5" s="149"/>
      <c r="E5" s="71"/>
      <c r="F5" s="274">
        <f>SUM(F6:F11)</f>
        <v>18333.333333333332</v>
      </c>
      <c r="G5" s="274">
        <f>SUM(G6:G11)</f>
        <v>75000</v>
      </c>
      <c r="H5" s="274">
        <f t="shared" ref="H5:O5" si="2">SUM(H6:H11)</f>
        <v>62523.809523809519</v>
      </c>
      <c r="I5" s="274">
        <f t="shared" si="2"/>
        <v>50047.619047619046</v>
      </c>
      <c r="J5" s="274">
        <f t="shared" si="2"/>
        <v>38405.095238095244</v>
      </c>
      <c r="K5" s="274">
        <f t="shared" si="2"/>
        <v>31167.428571428572</v>
      </c>
      <c r="L5" s="274">
        <f t="shared" si="2"/>
        <v>27500.761904761908</v>
      </c>
      <c r="M5" s="274">
        <f t="shared" si="2"/>
        <v>23834.095238095244</v>
      </c>
      <c r="N5" s="274">
        <f t="shared" si="2"/>
        <v>20167.42857142858</v>
      </c>
      <c r="O5" s="274">
        <f t="shared" si="2"/>
        <v>16500.761904761916</v>
      </c>
      <c r="P5" s="718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outlineLevel="1" x14ac:dyDescent="0.25">
      <c r="A6" s="149"/>
      <c r="B6" s="444" t="s">
        <v>31</v>
      </c>
      <c r="C6" s="244" t="s">
        <v>19</v>
      </c>
      <c r="D6" s="149"/>
      <c r="E6" s="71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164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30" outlineLevel="1" x14ac:dyDescent="0.25">
      <c r="A7" s="226" t="str" cm="1">
        <f t="array" aca="1" ref="A7" ca="1">HYPERLINK(CELL("адрес",Инвестиции!A18),"источник")</f>
        <v>источник</v>
      </c>
      <c r="B7" s="444" t="s">
        <v>355</v>
      </c>
      <c r="C7" s="244" t="s">
        <v>19</v>
      </c>
      <c r="D7" s="149"/>
      <c r="E7" s="71"/>
      <c r="F7" s="436">
        <f>Инвестиции!F18</f>
        <v>18333.333333333332</v>
      </c>
      <c r="G7" s="436">
        <f>Инвестиции!G18</f>
        <v>75000</v>
      </c>
      <c r="H7" s="436">
        <f>Инвестиции!H18</f>
        <v>62523.809523809519</v>
      </c>
      <c r="I7" s="436">
        <f>Инвестиции!I18</f>
        <v>50047.619047619046</v>
      </c>
      <c r="J7" s="436">
        <f>Инвестиции!J18</f>
        <v>38405.095238095244</v>
      </c>
      <c r="K7" s="436">
        <f>Инвестиции!K18</f>
        <v>31167.428571428572</v>
      </c>
      <c r="L7" s="436">
        <f>Инвестиции!L18</f>
        <v>27500.761904761908</v>
      </c>
      <c r="M7" s="436">
        <f>Инвестиции!M18</f>
        <v>23834.095238095244</v>
      </c>
      <c r="N7" s="436">
        <f>Инвестиции!N18</f>
        <v>20167.42857142858</v>
      </c>
      <c r="O7" s="436">
        <f>Инвестиции!O18</f>
        <v>16500.761904761916</v>
      </c>
      <c r="P7" s="164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outlineLevel="1" x14ac:dyDescent="0.25">
      <c r="A8" s="149"/>
      <c r="B8" s="444" t="s">
        <v>33</v>
      </c>
      <c r="C8" s="244" t="s">
        <v>19</v>
      </c>
      <c r="D8" s="149"/>
      <c r="E8" s="71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164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outlineLevel="1" x14ac:dyDescent="0.25">
      <c r="A9" s="149"/>
      <c r="B9" s="444" t="s">
        <v>34</v>
      </c>
      <c r="C9" s="244" t="s">
        <v>19</v>
      </c>
      <c r="D9" s="149"/>
      <c r="E9" s="71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164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outlineLevel="1" x14ac:dyDescent="0.25">
      <c r="A10" s="149"/>
      <c r="B10" s="444" t="s">
        <v>35</v>
      </c>
      <c r="C10" s="244" t="s">
        <v>19</v>
      </c>
      <c r="D10" s="149"/>
      <c r="E10" s="71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164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outlineLevel="1" x14ac:dyDescent="0.25">
      <c r="A11" s="149"/>
      <c r="B11" s="444" t="s">
        <v>36</v>
      </c>
      <c r="C11" s="244" t="s">
        <v>19</v>
      </c>
      <c r="D11" s="149"/>
      <c r="E11" s="71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164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440" t="s">
        <v>63</v>
      </c>
      <c r="B12" s="443" t="s">
        <v>37</v>
      </c>
      <c r="C12" s="244" t="s">
        <v>19</v>
      </c>
      <c r="D12" s="149"/>
      <c r="E12" s="71"/>
      <c r="F12" s="274">
        <f ca="1">SUM(F13:F20)</f>
        <v>3577.8642666666638</v>
      </c>
      <c r="G12" s="274">
        <f t="shared" ref="G12:O12" ca="1" si="3">SUM(G13:G20)</f>
        <v>27970.645542399987</v>
      </c>
      <c r="H12" s="274">
        <f t="shared" ca="1" si="3"/>
        <v>1816.1782407605788</v>
      </c>
      <c r="I12" s="274">
        <f t="shared" ca="1" si="3"/>
        <v>40923.739838944806</v>
      </c>
      <c r="J12" s="274">
        <f t="shared" ca="1" si="3"/>
        <v>84329.494879429025</v>
      </c>
      <c r="K12" s="274">
        <f t="shared" ca="1" si="3"/>
        <v>132092.33306645125</v>
      </c>
      <c r="L12" s="274">
        <f t="shared" ca="1" si="3"/>
        <v>184467.71100819414</v>
      </c>
      <c r="M12" s="274">
        <f t="shared" ca="1" si="3"/>
        <v>241673.29237955395</v>
      </c>
      <c r="N12" s="274">
        <f t="shared" ca="1" si="3"/>
        <v>300269.86374829285</v>
      </c>
      <c r="O12" s="274">
        <f t="shared" ca="1" si="3"/>
        <v>363745.67162973888</v>
      </c>
      <c r="P12" s="718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outlineLevel="1" x14ac:dyDescent="0.25">
      <c r="A13" s="149"/>
      <c r="B13" s="444" t="s">
        <v>38</v>
      </c>
      <c r="C13" s="244" t="s">
        <v>19</v>
      </c>
      <c r="D13" s="149"/>
      <c r="E13" s="71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164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outlineLevel="1" x14ac:dyDescent="0.25">
      <c r="A14" s="149"/>
      <c r="B14" s="444" t="s">
        <v>39</v>
      </c>
      <c r="C14" s="244" t="s">
        <v>19</v>
      </c>
      <c r="D14" s="149"/>
      <c r="E14" s="71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164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outlineLevel="1" x14ac:dyDescent="0.25">
      <c r="A15" s="149"/>
      <c r="B15" s="444" t="s">
        <v>238</v>
      </c>
      <c r="C15" s="244" t="s">
        <v>19</v>
      </c>
      <c r="D15" s="149"/>
      <c r="E15" s="71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164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outlineLevel="1" x14ac:dyDescent="0.25">
      <c r="A16" s="149"/>
      <c r="B16" s="444" t="s">
        <v>40</v>
      </c>
      <c r="C16" s="244" t="s">
        <v>19</v>
      </c>
      <c r="D16" s="149"/>
      <c r="E16" s="71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164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outlineLevel="1" x14ac:dyDescent="0.25">
      <c r="A17" s="149"/>
      <c r="B17" s="444" t="s">
        <v>41</v>
      </c>
      <c r="C17" s="244" t="s">
        <v>19</v>
      </c>
      <c r="D17" s="149"/>
      <c r="E17" s="71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164"/>
      <c r="Q17" s="159"/>
    </row>
    <row r="18" spans="1:17" ht="30" outlineLevel="1" x14ac:dyDescent="0.25">
      <c r="A18" s="149"/>
      <c r="B18" s="444" t="s">
        <v>42</v>
      </c>
      <c r="C18" s="244" t="s">
        <v>19</v>
      </c>
      <c r="D18" s="149"/>
      <c r="E18" s="71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164"/>
      <c r="Q18" s="159"/>
    </row>
    <row r="19" spans="1:17" outlineLevel="1" x14ac:dyDescent="0.25">
      <c r="A19" s="226" t="str" cm="1">
        <f t="array" aca="1" ref="A19" ca="1">HYPERLINK(CELL("адрес",БДДС!A58),"источник")</f>
        <v>источник</v>
      </c>
      <c r="B19" s="444" t="s">
        <v>43</v>
      </c>
      <c r="C19" s="244" t="s">
        <v>19</v>
      </c>
      <c r="D19" s="149"/>
      <c r="E19" s="71"/>
      <c r="F19" s="436">
        <f ca="1">БДДС!F58</f>
        <v>3577.8642666666638</v>
      </c>
      <c r="G19" s="436">
        <f ca="1">БДДС!G58</f>
        <v>27970.645542399987</v>
      </c>
      <c r="H19" s="436">
        <f ca="1">БДДС!H58</f>
        <v>1816.1782407605788</v>
      </c>
      <c r="I19" s="436">
        <f ca="1">БДДС!I58</f>
        <v>40923.739838944806</v>
      </c>
      <c r="J19" s="436">
        <f ca="1">БДДС!J58</f>
        <v>84329.494879429025</v>
      </c>
      <c r="K19" s="436">
        <f ca="1">БДДС!K58</f>
        <v>132092.33306645125</v>
      </c>
      <c r="L19" s="436">
        <f ca="1">БДДС!L58</f>
        <v>184467.71100819414</v>
      </c>
      <c r="M19" s="436">
        <f ca="1">БДДС!M58</f>
        <v>241673.29237955395</v>
      </c>
      <c r="N19" s="436">
        <f ca="1">БДДС!N58</f>
        <v>300269.86374829285</v>
      </c>
      <c r="O19" s="436">
        <f ca="1">БДДС!O58</f>
        <v>363745.67162973888</v>
      </c>
      <c r="P19" s="164"/>
      <c r="Q19" s="159"/>
    </row>
    <row r="20" spans="1:17" outlineLevel="1" x14ac:dyDescent="0.25">
      <c r="A20" s="149"/>
      <c r="B20" s="444" t="s">
        <v>44</v>
      </c>
      <c r="C20" s="244" t="s">
        <v>19</v>
      </c>
      <c r="D20" s="149"/>
      <c r="E20" s="71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164"/>
      <c r="Q20" s="159"/>
    </row>
    <row r="21" spans="1:17" ht="15.75" thickBot="1" x14ac:dyDescent="0.3">
      <c r="A21" s="441"/>
      <c r="B21" s="441" t="s">
        <v>45</v>
      </c>
      <c r="C21" s="244" t="s">
        <v>19</v>
      </c>
      <c r="D21" s="149"/>
      <c r="E21" s="71"/>
      <c r="F21" s="437">
        <f ca="1">SUM(F12,F5)</f>
        <v>21911.197599999996</v>
      </c>
      <c r="G21" s="437">
        <f ca="1">SUM(G12,G5)</f>
        <v>102970.64554239999</v>
      </c>
      <c r="H21" s="437">
        <f t="shared" ref="H21:O21" ca="1" si="4">SUM(H12,H5)</f>
        <v>64339.987764570098</v>
      </c>
      <c r="I21" s="437">
        <f t="shared" ca="1" si="4"/>
        <v>90971.358886563859</v>
      </c>
      <c r="J21" s="437">
        <f t="shared" ca="1" si="4"/>
        <v>122734.59011752426</v>
      </c>
      <c r="K21" s="437">
        <f t="shared" ca="1" si="4"/>
        <v>163259.76163787983</v>
      </c>
      <c r="L21" s="437">
        <f t="shared" ca="1" si="4"/>
        <v>211968.47291295603</v>
      </c>
      <c r="M21" s="437">
        <f t="shared" ca="1" si="4"/>
        <v>265507.38761764922</v>
      </c>
      <c r="N21" s="437">
        <f t="shared" ca="1" si="4"/>
        <v>320437.29231972143</v>
      </c>
      <c r="O21" s="437">
        <f t="shared" ca="1" si="4"/>
        <v>380246.43353450077</v>
      </c>
      <c r="P21" s="718"/>
      <c r="Q21" s="159"/>
    </row>
    <row r="22" spans="1:17" x14ac:dyDescent="0.25">
      <c r="A22" s="149"/>
      <c r="B22" s="445"/>
      <c r="C22" s="448"/>
      <c r="D22" s="149"/>
      <c r="E22" s="71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164"/>
      <c r="Q22" s="159"/>
    </row>
    <row r="23" spans="1:17" x14ac:dyDescent="0.25">
      <c r="A23" s="440" t="s">
        <v>64</v>
      </c>
      <c r="B23" s="443" t="s">
        <v>46</v>
      </c>
      <c r="C23" s="244" t="s">
        <v>19</v>
      </c>
      <c r="D23" s="149"/>
      <c r="E23" s="71"/>
      <c r="F23" s="274">
        <f ca="1">SUM(F24:F25)</f>
        <v>21911.1976</v>
      </c>
      <c r="G23" s="274">
        <f ca="1">SUM(G24:G25)</f>
        <v>7970.6455423999978</v>
      </c>
      <c r="H23" s="274">
        <f t="shared" ref="H23:O23" ca="1" si="5">SUM(H24:H25)</f>
        <v>-18785.012235429873</v>
      </c>
      <c r="I23" s="274">
        <f t="shared" ca="1" si="5"/>
        <v>19721.358886563859</v>
      </c>
      <c r="J23" s="274">
        <f t="shared" ca="1" si="5"/>
        <v>63359.590117524262</v>
      </c>
      <c r="K23" s="274">
        <f t="shared" ca="1" si="5"/>
        <v>115759.76163787984</v>
      </c>
      <c r="L23" s="274">
        <f t="shared" ca="1" si="5"/>
        <v>176343.47291295612</v>
      </c>
      <c r="M23" s="274">
        <f t="shared" ca="1" si="5"/>
        <v>241757.38761764925</v>
      </c>
      <c r="N23" s="274">
        <f t="shared" ca="1" si="5"/>
        <v>308562.29231972148</v>
      </c>
      <c r="O23" s="274">
        <f t="shared" ca="1" si="5"/>
        <v>380246.43353450083</v>
      </c>
      <c r="P23" s="718"/>
      <c r="Q23" s="159"/>
    </row>
    <row r="24" spans="1:17" outlineLevel="1" x14ac:dyDescent="0.25">
      <c r="A24" s="226" t="str" cm="1">
        <f t="array" aca="1" ref="A24" ca="1">HYPERLINK(CELL("адрес",Финансы!A12),"источник")</f>
        <v>источник</v>
      </c>
      <c r="B24" s="444" t="s">
        <v>239</v>
      </c>
      <c r="C24" s="244" t="s">
        <v>19</v>
      </c>
      <c r="D24" s="149"/>
      <c r="E24" s="71"/>
      <c r="F24" s="436">
        <f>Финансы!F12</f>
        <v>30000</v>
      </c>
      <c r="G24" s="436">
        <f>Финансы!G12</f>
        <v>30000</v>
      </c>
      <c r="H24" s="436">
        <f>Финансы!H12</f>
        <v>30000</v>
      </c>
      <c r="I24" s="436">
        <f>Финансы!I12</f>
        <v>30000</v>
      </c>
      <c r="J24" s="436">
        <f>Финансы!J12</f>
        <v>30000</v>
      </c>
      <c r="K24" s="436">
        <f>Финансы!K12</f>
        <v>30000</v>
      </c>
      <c r="L24" s="436">
        <f>Финансы!L12</f>
        <v>30000</v>
      </c>
      <c r="M24" s="436">
        <f>Финансы!M12</f>
        <v>30000</v>
      </c>
      <c r="N24" s="436">
        <f>Финансы!N12</f>
        <v>30000</v>
      </c>
      <c r="O24" s="436">
        <f>Финансы!O12</f>
        <v>30000</v>
      </c>
      <c r="P24" s="164"/>
      <c r="Q24" s="159"/>
    </row>
    <row r="25" spans="1:17" outlineLevel="1" x14ac:dyDescent="0.25">
      <c r="A25" s="226" t="str" cm="1">
        <f t="array" aca="1" ref="A25" ca="1">HYPERLINK(CELL("адрес",БДР!A35),"источник")</f>
        <v>источник</v>
      </c>
      <c r="B25" s="444" t="s">
        <v>47</v>
      </c>
      <c r="C25" s="244" t="s">
        <v>19</v>
      </c>
      <c r="D25" s="149"/>
      <c r="E25" s="71"/>
      <c r="F25" s="436">
        <f ca="1">БДР!F35</f>
        <v>-8088.8024000000014</v>
      </c>
      <c r="G25" s="436">
        <f ca="1">БДР!G35</f>
        <v>-22029.354457600002</v>
      </c>
      <c r="H25" s="436">
        <f ca="1">БДР!H35</f>
        <v>-48785.012235429873</v>
      </c>
      <c r="I25" s="436">
        <f ca="1">БДР!I35</f>
        <v>-10278.641113436141</v>
      </c>
      <c r="J25" s="436">
        <f ca="1">БДР!J35</f>
        <v>33359.590117524262</v>
      </c>
      <c r="K25" s="436">
        <f ca="1">БДР!K35</f>
        <v>85759.761637879841</v>
      </c>
      <c r="L25" s="436">
        <f ca="1">БДР!L35</f>
        <v>146343.47291295612</v>
      </c>
      <c r="M25" s="436">
        <f ca="1">БДР!M35</f>
        <v>211757.38761764925</v>
      </c>
      <c r="N25" s="436">
        <f ca="1">БДР!N35</f>
        <v>278562.29231972148</v>
      </c>
      <c r="O25" s="436">
        <f ca="1">БДР!O35</f>
        <v>350246.43353450083</v>
      </c>
      <c r="P25" s="164"/>
      <c r="Q25" s="159"/>
    </row>
    <row r="26" spans="1:17" x14ac:dyDescent="0.25">
      <c r="A26" s="440" t="s">
        <v>65</v>
      </c>
      <c r="B26" s="443" t="s">
        <v>48</v>
      </c>
      <c r="C26" s="244" t="s">
        <v>19</v>
      </c>
      <c r="D26" s="149"/>
      <c r="E26" s="71"/>
      <c r="F26" s="274">
        <f ca="1">SUM(F27:F30)</f>
        <v>0</v>
      </c>
      <c r="G26" s="274">
        <f ca="1">SUM(G27:G30)</f>
        <v>95000</v>
      </c>
      <c r="H26" s="274">
        <f t="shared" ref="H26:O26" ca="1" si="6">SUM(H27:H30)</f>
        <v>83125</v>
      </c>
      <c r="I26" s="274">
        <f t="shared" ca="1" si="6"/>
        <v>71250</v>
      </c>
      <c r="J26" s="274">
        <f t="shared" ca="1" si="6"/>
        <v>59375</v>
      </c>
      <c r="K26" s="274">
        <f t="shared" ca="1" si="6"/>
        <v>47500</v>
      </c>
      <c r="L26" s="274">
        <f t="shared" ca="1" si="6"/>
        <v>35625</v>
      </c>
      <c r="M26" s="274">
        <f t="shared" ca="1" si="6"/>
        <v>23750</v>
      </c>
      <c r="N26" s="274">
        <f t="shared" ca="1" si="6"/>
        <v>11875</v>
      </c>
      <c r="O26" s="274">
        <f t="shared" ca="1" si="6"/>
        <v>0</v>
      </c>
      <c r="P26" s="718"/>
      <c r="Q26" s="159"/>
    </row>
    <row r="27" spans="1:17" outlineLevel="1" x14ac:dyDescent="0.25">
      <c r="A27" s="226" t="str" cm="1">
        <f t="array" aca="1" ref="A27" ca="1">HYPERLINK(CELL("адрес",Финансы!A24),"источник")</f>
        <v>источник</v>
      </c>
      <c r="B27" s="444" t="s">
        <v>49</v>
      </c>
      <c r="C27" s="244" t="s">
        <v>19</v>
      </c>
      <c r="D27" s="149"/>
      <c r="E27" s="71"/>
      <c r="F27" s="436">
        <f ca="1">Финансы!F24</f>
        <v>0</v>
      </c>
      <c r="G27" s="436">
        <f ca="1">Финансы!G24</f>
        <v>95000</v>
      </c>
      <c r="H27" s="436">
        <f ca="1">Финансы!H24</f>
        <v>83125</v>
      </c>
      <c r="I27" s="436">
        <f ca="1">Финансы!I24</f>
        <v>71250</v>
      </c>
      <c r="J27" s="436">
        <f ca="1">Финансы!J24</f>
        <v>59375</v>
      </c>
      <c r="K27" s="436">
        <f ca="1">Финансы!K24</f>
        <v>47500</v>
      </c>
      <c r="L27" s="436">
        <f ca="1">Финансы!L24</f>
        <v>35625</v>
      </c>
      <c r="M27" s="436">
        <f ca="1">Финансы!M24</f>
        <v>23750</v>
      </c>
      <c r="N27" s="436">
        <f ca="1">Финансы!N24</f>
        <v>11875</v>
      </c>
      <c r="O27" s="436">
        <f ca="1">Финансы!O24</f>
        <v>0</v>
      </c>
      <c r="P27" s="164"/>
      <c r="Q27" s="159"/>
    </row>
    <row r="28" spans="1:17" outlineLevel="1" x14ac:dyDescent="0.25">
      <c r="A28" s="226"/>
      <c r="B28" s="444" t="s">
        <v>54</v>
      </c>
      <c r="C28" s="244" t="s">
        <v>19</v>
      </c>
      <c r="D28" s="149"/>
      <c r="E28" s="71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164"/>
      <c r="Q28" s="159"/>
    </row>
    <row r="29" spans="1:17" ht="30" outlineLevel="1" x14ac:dyDescent="0.25">
      <c r="A29" s="149"/>
      <c r="B29" s="444" t="s">
        <v>50</v>
      </c>
      <c r="C29" s="244" t="s">
        <v>19</v>
      </c>
      <c r="D29" s="149"/>
      <c r="E29" s="71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164"/>
      <c r="Q29" s="159"/>
    </row>
    <row r="30" spans="1:17" outlineLevel="1" x14ac:dyDescent="0.25">
      <c r="A30" s="149"/>
      <c r="B30" s="444" t="s">
        <v>51</v>
      </c>
      <c r="C30" s="244" t="s">
        <v>19</v>
      </c>
      <c r="D30" s="149"/>
      <c r="E30" s="71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164"/>
      <c r="Q30" s="159"/>
    </row>
    <row r="31" spans="1:17" x14ac:dyDescent="0.25">
      <c r="A31" s="440" t="s">
        <v>66</v>
      </c>
      <c r="B31" s="443" t="s">
        <v>52</v>
      </c>
      <c r="C31" s="244" t="s">
        <v>19</v>
      </c>
      <c r="D31" s="149"/>
      <c r="E31" s="71"/>
      <c r="F31" s="274">
        <f>SUM(F32:F39)</f>
        <v>0</v>
      </c>
      <c r="G31" s="274">
        <f>SUM(G32:G39)</f>
        <v>0</v>
      </c>
      <c r="H31" s="274">
        <f t="shared" ref="H31:O31" si="7">SUM(H32:H39)</f>
        <v>0</v>
      </c>
      <c r="I31" s="274">
        <f t="shared" si="7"/>
        <v>0</v>
      </c>
      <c r="J31" s="274">
        <f t="shared" si="7"/>
        <v>0</v>
      </c>
      <c r="K31" s="274">
        <f t="shared" si="7"/>
        <v>0</v>
      </c>
      <c r="L31" s="274">
        <f t="shared" si="7"/>
        <v>0</v>
      </c>
      <c r="M31" s="274">
        <f t="shared" si="7"/>
        <v>0</v>
      </c>
      <c r="N31" s="274">
        <f t="shared" si="7"/>
        <v>0</v>
      </c>
      <c r="O31" s="274">
        <f t="shared" si="7"/>
        <v>0</v>
      </c>
      <c r="P31" s="718"/>
      <c r="Q31" s="159"/>
    </row>
    <row r="32" spans="1:17" outlineLevel="1" x14ac:dyDescent="0.25">
      <c r="A32" s="149"/>
      <c r="B32" s="444" t="s">
        <v>53</v>
      </c>
      <c r="C32" s="244" t="s">
        <v>19</v>
      </c>
      <c r="D32" s="149"/>
      <c r="E32" s="71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164"/>
      <c r="Q32" s="159"/>
    </row>
    <row r="33" spans="1:27" outlineLevel="1" x14ac:dyDescent="0.25">
      <c r="A33" s="149"/>
      <c r="B33" s="444" t="s">
        <v>54</v>
      </c>
      <c r="C33" s="244" t="s">
        <v>19</v>
      </c>
      <c r="D33" s="149"/>
      <c r="E33" s="71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164"/>
      <c r="Q33" s="159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30" outlineLevel="1" x14ac:dyDescent="0.25">
      <c r="A34" s="149"/>
      <c r="B34" s="444" t="s">
        <v>55</v>
      </c>
      <c r="C34" s="244" t="s">
        <v>19</v>
      </c>
      <c r="D34" s="149"/>
      <c r="E34" s="71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164"/>
      <c r="Q34" s="159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30" outlineLevel="1" x14ac:dyDescent="0.25">
      <c r="A35" s="149"/>
      <c r="B35" s="444" t="s">
        <v>56</v>
      </c>
      <c r="C35" s="244" t="s">
        <v>19</v>
      </c>
      <c r="D35" s="149"/>
      <c r="E35" s="71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164"/>
      <c r="Q35" s="159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30" outlineLevel="1" x14ac:dyDescent="0.25">
      <c r="A36" s="149"/>
      <c r="B36" s="444" t="s">
        <v>57</v>
      </c>
      <c r="C36" s="244" t="s">
        <v>19</v>
      </c>
      <c r="D36" s="149"/>
      <c r="E36" s="71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164"/>
      <c r="Q36" s="159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outlineLevel="1" x14ac:dyDescent="0.25">
      <c r="A37" s="149"/>
      <c r="B37" s="444" t="s">
        <v>58</v>
      </c>
      <c r="C37" s="244" t="s">
        <v>19</v>
      </c>
      <c r="D37" s="149"/>
      <c r="E37" s="71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164"/>
      <c r="Q37" s="159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outlineLevel="1" x14ac:dyDescent="0.25">
      <c r="A38" s="149"/>
      <c r="B38" s="444" t="s">
        <v>86</v>
      </c>
      <c r="C38" s="244" t="s">
        <v>19</v>
      </c>
      <c r="D38" s="149"/>
      <c r="E38" s="71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164"/>
      <c r="Q38" s="159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30" outlineLevel="1" x14ac:dyDescent="0.25">
      <c r="A39" s="149"/>
      <c r="B39" s="444" t="s">
        <v>59</v>
      </c>
      <c r="C39" s="244" t="s">
        <v>19</v>
      </c>
      <c r="D39" s="149"/>
      <c r="E39" s="71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164"/>
      <c r="Q39" s="159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ht="29.25" thickBot="1" x14ac:dyDescent="0.3">
      <c r="A40" s="441"/>
      <c r="B40" s="441" t="s">
        <v>60</v>
      </c>
      <c r="C40" s="244" t="s">
        <v>19</v>
      </c>
      <c r="D40" s="149"/>
      <c r="E40" s="71"/>
      <c r="F40" s="437">
        <f ca="1">SUM(F23,F26,F31)</f>
        <v>21911.1976</v>
      </c>
      <c r="G40" s="437">
        <f ca="1">SUM(G23,G26,G31)</f>
        <v>102970.6455424</v>
      </c>
      <c r="H40" s="437">
        <f t="shared" ref="H40:O40" ca="1" si="8">SUM(H23,H26,H31)</f>
        <v>64339.987764570127</v>
      </c>
      <c r="I40" s="437">
        <f t="shared" ca="1" si="8"/>
        <v>90971.358886563859</v>
      </c>
      <c r="J40" s="437">
        <f t="shared" ca="1" si="8"/>
        <v>122734.59011752426</v>
      </c>
      <c r="K40" s="437">
        <f t="shared" ca="1" si="8"/>
        <v>163259.76163787983</v>
      </c>
      <c r="L40" s="437">
        <f t="shared" ca="1" si="8"/>
        <v>211968.47291295612</v>
      </c>
      <c r="M40" s="437">
        <f t="shared" ca="1" si="8"/>
        <v>265507.38761764928</v>
      </c>
      <c r="N40" s="437">
        <f t="shared" ca="1" si="8"/>
        <v>320437.29231972148</v>
      </c>
      <c r="O40" s="437">
        <f t="shared" ca="1" si="8"/>
        <v>380246.43353450083</v>
      </c>
      <c r="P40" s="718"/>
      <c r="Q40" s="159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x14ac:dyDescent="0.25">
      <c r="A41" s="149"/>
      <c r="B41" s="180"/>
      <c r="C41" s="449"/>
      <c r="D41" s="149"/>
      <c r="E41" s="71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1" customFormat="1" x14ac:dyDescent="0.25">
      <c r="A42" s="442"/>
      <c r="B42" s="446" t="s">
        <v>61</v>
      </c>
      <c r="C42" s="271"/>
      <c r="D42" s="442"/>
      <c r="E42" s="435"/>
      <c r="F42" s="439">
        <f ca="1">F21-F40</f>
        <v>0</v>
      </c>
      <c r="G42" s="439">
        <f t="shared" ref="G42:O42" ca="1" si="9">G21-G40</f>
        <v>0</v>
      </c>
      <c r="H42" s="439">
        <f t="shared" ca="1" si="9"/>
        <v>0</v>
      </c>
      <c r="I42" s="439">
        <f t="shared" ca="1" si="9"/>
        <v>0</v>
      </c>
      <c r="J42" s="439">
        <f t="shared" ca="1" si="9"/>
        <v>0</v>
      </c>
      <c r="K42" s="439">
        <f t="shared" ca="1" si="9"/>
        <v>0</v>
      </c>
      <c r="L42" s="439">
        <f t="shared" ca="1" si="9"/>
        <v>0</v>
      </c>
      <c r="M42" s="439">
        <f t="shared" ca="1" si="9"/>
        <v>0</v>
      </c>
      <c r="N42" s="439">
        <f t="shared" ca="1" si="9"/>
        <v>0</v>
      </c>
      <c r="O42" s="439">
        <f t="shared" ca="1" si="9"/>
        <v>0</v>
      </c>
      <c r="P42" s="719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x14ac:dyDescent="0.25">
      <c r="A43" s="149"/>
      <c r="B43" s="178"/>
      <c r="C43" s="271"/>
      <c r="D43" s="149"/>
      <c r="E43" s="71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x14ac:dyDescent="0.25">
      <c r="A44" s="149"/>
      <c r="B44" s="174"/>
      <c r="C44" s="271"/>
      <c r="D44" s="149"/>
      <c r="E44" s="71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x14ac:dyDescent="0.25">
      <c r="A45" s="149"/>
      <c r="B45" s="178"/>
      <c r="C45" s="271"/>
      <c r="D45" s="149"/>
      <c r="E45" s="71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x14ac:dyDescent="0.25">
      <c r="A46" s="149"/>
      <c r="B46" s="174" t="str" cm="1">
        <f t="array" aca="1" ref="B46" ca="1">HYPERLINK(CELL("адрес",БДР!$A$1),"Перейти на лист БДР")</f>
        <v>Перейти на лист БДР</v>
      </c>
      <c r="C46" s="271"/>
      <c r="D46" s="149"/>
      <c r="E46" s="71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x14ac:dyDescent="0.25">
      <c r="A47" s="149"/>
      <c r="B47" s="174" t="str" cm="1">
        <f t="array" aca="1" ref="B47" ca="1">HYPERLINK(CELL("адрес",БДДС!$A$1),"Перейти на лист БДДС")</f>
        <v>Перейти на лист БДДС</v>
      </c>
      <c r="C47" s="271"/>
      <c r="D47" s="149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x14ac:dyDescent="0.25">
      <c r="A48" s="149"/>
      <c r="B48" s="174" t="str" cm="1">
        <f t="array" aca="1" ref="B48" ca="1">HYPERLINK(CELL("адрес",Дашборд_ИтогТабл!$A$1),"Перейти на лист Дашборд_1")</f>
        <v>Перейти на лист Дашборд_1</v>
      </c>
      <c r="C48" s="271"/>
      <c r="D48" s="149"/>
      <c r="E48" s="71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x14ac:dyDescent="0.25">
      <c r="A49" s="149"/>
      <c r="B49" s="174" t="str" cm="1">
        <f t="array" aca="1" ref="B49" ca="1">HYPERLINK(CELL("адрес",Дашборд_Основной!$A$1),"Перейти на лист Дашборд_Общий")</f>
        <v>Перейти на лист Дашборд_Общий</v>
      </c>
      <c r="C49" s="271"/>
      <c r="D49" s="149"/>
      <c r="E49" s="71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x14ac:dyDescent="0.25">
      <c r="A50" s="149"/>
      <c r="B50" s="174" t="str" cm="1">
        <f t="array" aca="1" ref="B50" ca="1">HYPERLINK(CELL("адрес",Дашборд_налоги!$A$1),"Перейти на лист Дашборд_Налоги")</f>
        <v>Перейти на лист Дашборд_Налоги</v>
      </c>
      <c r="C50" s="271"/>
      <c r="D50" s="149"/>
      <c r="E50" s="71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x14ac:dyDescent="0.25">
      <c r="A51" s="149"/>
      <c r="B51" s="174"/>
      <c r="C51" s="271"/>
      <c r="D51" s="149"/>
      <c r="E51" s="71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</sheetData>
  <hyperlinks>
    <hyperlink ref="M1" location="Контроль!A1" display="Контроль!A1" xr:uid="{62A96D6A-71EA-48D0-B390-EAAC18FA3E06}"/>
  </hyperlinks>
  <pageMargins left="0.70866141732283472" right="0.70866141732283472" top="0.74803149606299213" bottom="0.74803149606299213" header="0.31496062992125984" footer="0.31496062992125984"/>
  <pageSetup paperSize="9" scale="87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E711E-A9FC-4A45-81B8-485D4A83133C}">
  <sheetPr codeName="Лист30">
    <tabColor theme="5" tint="0.79998168889431442"/>
    <outlinePr summaryRight="0"/>
    <pageSetUpPr fitToPage="1"/>
  </sheetPr>
  <dimension ref="A1:AD42"/>
  <sheetViews>
    <sheetView zoomScale="115" zoomScaleNormal="115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D23" sqref="D23"/>
    </sheetView>
  </sheetViews>
  <sheetFormatPr defaultRowHeight="15" outlineLevelCol="1" x14ac:dyDescent="0.25"/>
  <cols>
    <col min="1" max="1" width="11.5703125" customWidth="1"/>
    <col min="2" max="2" width="30.42578125" style="2" customWidth="1"/>
    <col min="3" max="3" width="11" style="5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618</v>
      </c>
      <c r="B1" s="167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167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92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264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28.5" x14ac:dyDescent="0.25">
      <c r="A5" s="149"/>
      <c r="B5" s="451" t="s">
        <v>752</v>
      </c>
      <c r="C5" s="271" t="s">
        <v>19</v>
      </c>
      <c r="D5" s="228">
        <f ca="1">SUM(D6:D12)</f>
        <v>220128.03256858894</v>
      </c>
      <c r="E5" s="71"/>
      <c r="F5" s="228">
        <f ca="1">SUM(F6:F12)</f>
        <v>-598.7976000000001</v>
      </c>
      <c r="G5" s="228">
        <f t="shared" ref="G5:O5" ca="1" si="2">SUM(G6:G12)</f>
        <v>-743.34234240000035</v>
      </c>
      <c r="H5" s="228">
        <f t="shared" ca="1" si="2"/>
        <v>10912.18622083939</v>
      </c>
      <c r="I5" s="228">
        <f t="shared" ca="1" si="2"/>
        <v>25609.832917334192</v>
      </c>
      <c r="J5" s="228">
        <f t="shared" ca="1" si="2"/>
        <v>26651.100613083203</v>
      </c>
      <c r="K5" s="228">
        <f t="shared" ca="1" si="2"/>
        <v>27802.251844080354</v>
      </c>
      <c r="L5" s="228">
        <f t="shared" ca="1" si="2"/>
        <v>28986.464795708875</v>
      </c>
      <c r="M5" s="228">
        <f t="shared" ca="1" si="2"/>
        <v>30141.091546406431</v>
      </c>
      <c r="N5" s="228">
        <f t="shared" ca="1" si="2"/>
        <v>34930.840565108738</v>
      </c>
      <c r="O5" s="228">
        <f t="shared" ca="1" si="2"/>
        <v>36436.404008427773</v>
      </c>
      <c r="P5" s="385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x14ac:dyDescent="0.25">
      <c r="A6" s="324" t="str" cm="1">
        <f t="array" aca="1" ref="A6" ca="1">HYPERLINK(CELL("адрес",НДС!B16),"источник")</f>
        <v>источник</v>
      </c>
      <c r="B6" s="167" t="s">
        <v>328</v>
      </c>
      <c r="C6" s="453" t="s">
        <v>19</v>
      </c>
      <c r="D6" s="411">
        <f t="shared" ref="D6:D12" si="3">SUM(F6:O6)</f>
        <v>151341.13891795586</v>
      </c>
      <c r="E6" s="71"/>
      <c r="F6" s="230">
        <f>НДС!F16</f>
        <v>-1027</v>
      </c>
      <c r="G6" s="230">
        <f>НДС!G16</f>
        <v>-1066.3600000000001</v>
      </c>
      <c r="H6" s="230">
        <f>НДС!H16</f>
        <v>5444.5947500000002</v>
      </c>
      <c r="I6" s="230">
        <f>НДС!I16</f>
        <v>18647.995422499996</v>
      </c>
      <c r="J6" s="230">
        <f>НДС!J16</f>
        <v>19417.779463262505</v>
      </c>
      <c r="K6" s="230">
        <f>НДС!K16</f>
        <v>20218.861471252065</v>
      </c>
      <c r="L6" s="230">
        <f>НДС!L16</f>
        <v>21066.699430428045</v>
      </c>
      <c r="M6" s="230">
        <f>НДС!M16</f>
        <v>21948.983160475953</v>
      </c>
      <c r="N6" s="230">
        <f>НДС!N16</f>
        <v>22867.098476018244</v>
      </c>
      <c r="O6" s="230">
        <f>НДС!O16</f>
        <v>23822.486744019072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324" t="str" cm="1">
        <f t="array" aca="1" ref="A7" ca="1">HYPERLINK(CELL("адрес",НалПрибыль!A27),"источник")</f>
        <v>источник</v>
      </c>
      <c r="B7" s="178" t="s">
        <v>748</v>
      </c>
      <c r="C7" s="244" t="s">
        <v>19</v>
      </c>
      <c r="D7" s="411">
        <f t="shared" ca="1" si="3"/>
        <v>7299.8383911110013</v>
      </c>
      <c r="E7" s="71"/>
      <c r="F7" s="230">
        <f ca="1">НалПрибыль!F28</f>
        <v>-165.07760000000002</v>
      </c>
      <c r="G7" s="230">
        <f ca="1">НалПрибыль!G28</f>
        <v>-284.50106240000002</v>
      </c>
      <c r="H7" s="230">
        <f ca="1">НалПрибыль!H28</f>
        <v>-546.0338322006096</v>
      </c>
      <c r="I7" s="230">
        <f ca="1">НалПрибыль!I28</f>
        <v>785.84430861211706</v>
      </c>
      <c r="J7" s="230">
        <f ca="1">НалПрибыль!J28</f>
        <v>890.57614757062049</v>
      </c>
      <c r="K7" s="230">
        <f ca="1">НалПрибыль!K28</f>
        <v>1069.3912555174609</v>
      </c>
      <c r="L7" s="230">
        <f ca="1">НалПрибыль!L28</f>
        <v>1236.4022709199239</v>
      </c>
      <c r="M7" s="230">
        <f ca="1">НалПрибыль!M28</f>
        <v>1334.9778511161865</v>
      </c>
      <c r="N7" s="230">
        <f ca="1">НалПрибыль!N28</f>
        <v>1436.6646172488649</v>
      </c>
      <c r="O7" s="230">
        <f ca="1">НалПрибыль!O28</f>
        <v>1541.5944347264378</v>
      </c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324" t="str" cm="1">
        <f t="array" aca="1" ref="A8" ca="1">HYPERLINK(CELL("адрес",НалПрибыль!A28),"источник")</f>
        <v>источник</v>
      </c>
      <c r="B8" s="178" t="s">
        <v>749</v>
      </c>
      <c r="C8" s="244" t="s">
        <v>19</v>
      </c>
      <c r="D8" s="411">
        <f t="shared" ca="1" si="3"/>
        <v>7445.6476299382575</v>
      </c>
      <c r="E8" s="71"/>
      <c r="F8" s="230">
        <f ca="1">НалПрибыль!F29</f>
        <v>0</v>
      </c>
      <c r="G8" s="230">
        <f ca="1">НалПрибыль!G29</f>
        <v>0</v>
      </c>
      <c r="H8" s="230">
        <f ca="1">НалПрибыль!H29</f>
        <v>0</v>
      </c>
      <c r="I8" s="230">
        <f ca="1">НалПрибыль!I29</f>
        <v>0</v>
      </c>
      <c r="J8" s="230">
        <f ca="1">НалПрибыль!J29</f>
        <v>0</v>
      </c>
      <c r="K8" s="230">
        <f ca="1">НалПрибыль!K29</f>
        <v>0</v>
      </c>
      <c r="L8" s="230">
        <f ca="1">НалПрибыль!L29</f>
        <v>0</v>
      </c>
      <c r="M8" s="230">
        <f ca="1">НалПрибыль!M29</f>
        <v>0</v>
      </c>
      <c r="N8" s="230">
        <f ca="1">НалПрибыль!N29</f>
        <v>3591.6615431221626</v>
      </c>
      <c r="O8" s="230">
        <f ca="1">НалПрибыль!O29</f>
        <v>3853.9860868160949</v>
      </c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324" t="str" cm="1">
        <f t="array" aca="1" ref="A9" ca="1">HYPERLINK(CELL("адрес",НалИмущество!A19),"источник")</f>
        <v>источник</v>
      </c>
      <c r="B9" s="178" t="s">
        <v>316</v>
      </c>
      <c r="C9" s="244" t="s">
        <v>19</v>
      </c>
      <c r="D9" s="411">
        <f t="shared" si="3"/>
        <v>0</v>
      </c>
      <c r="E9" s="71"/>
      <c r="F9" s="230">
        <f>НалИмущество!F19</f>
        <v>0</v>
      </c>
      <c r="G9" s="230">
        <f>НалИмущество!G19</f>
        <v>0</v>
      </c>
      <c r="H9" s="230">
        <f>НалИмущество!H19</f>
        <v>0</v>
      </c>
      <c r="I9" s="230">
        <f>НалИмущество!I19</f>
        <v>0</v>
      </c>
      <c r="J9" s="230">
        <f>НалИмущество!J19</f>
        <v>0</v>
      </c>
      <c r="K9" s="230">
        <f>НалИмущество!K19</f>
        <v>0</v>
      </c>
      <c r="L9" s="230">
        <f>НалИмущество!L19</f>
        <v>0</v>
      </c>
      <c r="M9" s="230">
        <f>НалИмущество!M19</f>
        <v>0</v>
      </c>
      <c r="N9" s="230">
        <f>НалИмущество!N19</f>
        <v>0</v>
      </c>
      <c r="O9" s="230">
        <f>НалИмущество!O19</f>
        <v>0</v>
      </c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324" t="str" cm="1">
        <f t="array" aca="1" ref="A10" ca="1">HYPERLINK(CELL("адрес",Персонал!A53),"источник")</f>
        <v>источник</v>
      </c>
      <c r="B10" s="211" t="s">
        <v>750</v>
      </c>
      <c r="C10" s="454" t="s">
        <v>19</v>
      </c>
      <c r="D10" s="411">
        <f t="shared" si="3"/>
        <v>28857.062326476796</v>
      </c>
      <c r="E10" s="71"/>
      <c r="F10" s="230">
        <f>Персонал!F53</f>
        <v>316.8</v>
      </c>
      <c r="G10" s="230">
        <f>Персонал!G53</f>
        <v>324.40319999999997</v>
      </c>
      <c r="H10" s="230">
        <f>Персонал!H53</f>
        <v>3211.1591424000003</v>
      </c>
      <c r="I10" s="230">
        <f>Персонал!I53</f>
        <v>3297.8604392448001</v>
      </c>
      <c r="J10" s="230">
        <f>Персонал!J53</f>
        <v>3386.9026711044094</v>
      </c>
      <c r="K10" s="230">
        <f>Персонал!K53</f>
        <v>3478.3490432242279</v>
      </c>
      <c r="L10" s="230">
        <f>Персонал!L53</f>
        <v>3568.7861183480577</v>
      </c>
      <c r="M10" s="230">
        <f>Персонал!M53</f>
        <v>3661.5745574251082</v>
      </c>
      <c r="N10" s="230">
        <f>Персонал!N53</f>
        <v>3756.7754959181607</v>
      </c>
      <c r="O10" s="230">
        <f>Персонал!O53</f>
        <v>3854.4516588120323</v>
      </c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324" t="str" cm="1">
        <f t="array" aca="1" ref="A11" ca="1">HYPERLINK(CELL("адрес",Персонал!A54),"источник")</f>
        <v>источник</v>
      </c>
      <c r="B11" s="211" t="s">
        <v>751</v>
      </c>
      <c r="C11" s="454" t="s">
        <v>19</v>
      </c>
      <c r="D11" s="411">
        <f t="shared" si="3"/>
        <v>5246.7386048139633</v>
      </c>
      <c r="E11" s="71"/>
      <c r="F11" s="230">
        <f>Персонал!F54</f>
        <v>57.6</v>
      </c>
      <c r="G11" s="230">
        <f>Персонал!G54</f>
        <v>58.982399999999998</v>
      </c>
      <c r="H11" s="230">
        <f>Персонал!H54</f>
        <v>583.84711680000009</v>
      </c>
      <c r="I11" s="230">
        <f>Персонал!I54</f>
        <v>599.61098895359999</v>
      </c>
      <c r="J11" s="230">
        <f>Персонал!J54</f>
        <v>615.80048565534719</v>
      </c>
      <c r="K11" s="230">
        <f>Персонал!K54</f>
        <v>632.42709876804145</v>
      </c>
      <c r="L11" s="230">
        <f>Персонал!L54</f>
        <v>648.87020333601049</v>
      </c>
      <c r="M11" s="230">
        <f>Персонал!M54</f>
        <v>665.7408286227469</v>
      </c>
      <c r="N11" s="230">
        <f>Персонал!N54</f>
        <v>683.05009016693828</v>
      </c>
      <c r="O11" s="230">
        <f>Персонал!O54</f>
        <v>700.80939251127859</v>
      </c>
      <c r="P11" s="386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324" t="str" cm="1">
        <f t="array" aca="1" ref="A12" ca="1">HYPERLINK(CELL("адрес",Персонал!A38),"источник")</f>
        <v>источник</v>
      </c>
      <c r="B12" s="211" t="s">
        <v>548</v>
      </c>
      <c r="C12" s="454" t="s">
        <v>19</v>
      </c>
      <c r="D12" s="248">
        <f t="shared" si="3"/>
        <v>19937.606698293057</v>
      </c>
      <c r="E12" s="71"/>
      <c r="F12" s="230">
        <f>Персонал!F38</f>
        <v>218.88</v>
      </c>
      <c r="G12" s="230">
        <f>Персонал!G38</f>
        <v>224.13311999999999</v>
      </c>
      <c r="H12" s="230">
        <f>Персонал!H38</f>
        <v>2218.6190438399999</v>
      </c>
      <c r="I12" s="230">
        <f>Персонал!I38</f>
        <v>2278.5217580236799</v>
      </c>
      <c r="J12" s="230">
        <f>Персонал!J38</f>
        <v>2340.0418454903192</v>
      </c>
      <c r="K12" s="230">
        <f>Персонал!K38</f>
        <v>2403.2229753185575</v>
      </c>
      <c r="L12" s="230">
        <f>Персонал!L38</f>
        <v>2465.70677267684</v>
      </c>
      <c r="M12" s="230">
        <f>Персонал!M38</f>
        <v>2529.8151487664381</v>
      </c>
      <c r="N12" s="230">
        <f>Персонал!N38</f>
        <v>2595.5903426343657</v>
      </c>
      <c r="O12" s="230">
        <f>Персонал!O38</f>
        <v>2663.0756915428587</v>
      </c>
      <c r="P12" s="38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71"/>
      <c r="B13" s="167"/>
      <c r="C13" s="189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71"/>
      <c r="B14" s="167"/>
      <c r="C14" s="189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28.5" x14ac:dyDescent="0.25">
      <c r="A15" s="450">
        <f ca="1">ROUND(D15/1000,2)</f>
        <v>220.13</v>
      </c>
      <c r="B15" s="451" t="s">
        <v>752</v>
      </c>
      <c r="C15" s="189"/>
      <c r="D15" s="228">
        <f ca="1">SUM(D16:D19)</f>
        <v>220128.03256858897</v>
      </c>
      <c r="E15" s="156" t="str">
        <f ca="1">CONCATENATE("всего: ",(ROUND(D15/1000,2)))</f>
        <v>всего: 220,13</v>
      </c>
      <c r="F15" s="228">
        <f t="shared" ref="F15:O15" ca="1" si="4">SUM(F16:F19)</f>
        <v>-598.7976000000001</v>
      </c>
      <c r="G15" s="228">
        <f t="shared" ca="1" si="4"/>
        <v>-743.34234240000035</v>
      </c>
      <c r="H15" s="228">
        <f t="shared" ca="1" si="4"/>
        <v>10912.18622083939</v>
      </c>
      <c r="I15" s="228">
        <f t="shared" ca="1" si="4"/>
        <v>25609.832917334192</v>
      </c>
      <c r="J15" s="228">
        <f t="shared" ca="1" si="4"/>
        <v>26651.100613083203</v>
      </c>
      <c r="K15" s="228">
        <f t="shared" ca="1" si="4"/>
        <v>27802.251844080354</v>
      </c>
      <c r="L15" s="228">
        <f t="shared" ca="1" si="4"/>
        <v>28986.464795708875</v>
      </c>
      <c r="M15" s="228">
        <f t="shared" ca="1" si="4"/>
        <v>30141.091546406431</v>
      </c>
      <c r="N15" s="228">
        <f t="shared" ca="1" si="4"/>
        <v>34930.840565108738</v>
      </c>
      <c r="O15" s="228">
        <f t="shared" ca="1" si="4"/>
        <v>36436.404008427773</v>
      </c>
      <c r="P15" s="385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450">
        <f ca="1">ROUND(D16/1000,2)</f>
        <v>158.63999999999999</v>
      </c>
      <c r="B16" s="167" t="s">
        <v>753</v>
      </c>
      <c r="C16" s="453" t="s">
        <v>19</v>
      </c>
      <c r="D16" s="248">
        <f ca="1">SUM(F16:O16)</f>
        <v>158640.97730906689</v>
      </c>
      <c r="E16" s="156">
        <f t="shared" ref="E16:E19" ca="1" si="5">ROUND(D16/1000,0)</f>
        <v>159</v>
      </c>
      <c r="F16" s="230">
        <f t="shared" ref="F16:O16" ca="1" si="6">F6+F7</f>
        <v>-1192.0776000000001</v>
      </c>
      <c r="G16" s="230">
        <f t="shared" ca="1" si="6"/>
        <v>-1350.8610624000003</v>
      </c>
      <c r="H16" s="230">
        <f t="shared" ca="1" si="6"/>
        <v>4898.5609177993902</v>
      </c>
      <c r="I16" s="230">
        <f t="shared" ca="1" si="6"/>
        <v>19433.839731112115</v>
      </c>
      <c r="J16" s="230">
        <f t="shared" ca="1" si="6"/>
        <v>20308.355610833125</v>
      </c>
      <c r="K16" s="230">
        <f t="shared" ca="1" si="6"/>
        <v>21288.252726769526</v>
      </c>
      <c r="L16" s="230">
        <f t="shared" ca="1" si="6"/>
        <v>22303.101701347969</v>
      </c>
      <c r="M16" s="230">
        <f t="shared" ca="1" si="6"/>
        <v>23283.961011592139</v>
      </c>
      <c r="N16" s="230">
        <f t="shared" ca="1" si="6"/>
        <v>24303.763093267109</v>
      </c>
      <c r="O16" s="230">
        <f t="shared" ca="1" si="6"/>
        <v>25364.08117874551</v>
      </c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450">
        <f ca="1">ROUND(D17/1000,2)</f>
        <v>36.299999999999997</v>
      </c>
      <c r="B17" s="167" t="s">
        <v>754</v>
      </c>
      <c r="C17" s="453" t="s">
        <v>19</v>
      </c>
      <c r="D17" s="248">
        <f ca="1">SUM(F17:O17)</f>
        <v>36302.709956415056</v>
      </c>
      <c r="E17" s="156">
        <f t="shared" ca="1" si="5"/>
        <v>36</v>
      </c>
      <c r="F17" s="230">
        <f ca="1">F8+F9+F10</f>
        <v>316.8</v>
      </c>
      <c r="G17" s="230">
        <f t="shared" ref="G17:O17" ca="1" si="7">G8+G9+G10</f>
        <v>324.40319999999997</v>
      </c>
      <c r="H17" s="230">
        <f t="shared" ca="1" si="7"/>
        <v>3211.1591424000003</v>
      </c>
      <c r="I17" s="230">
        <f t="shared" ca="1" si="7"/>
        <v>3297.8604392448001</v>
      </c>
      <c r="J17" s="230">
        <f t="shared" ca="1" si="7"/>
        <v>3386.9026711044094</v>
      </c>
      <c r="K17" s="230">
        <f t="shared" ca="1" si="7"/>
        <v>3478.3490432242279</v>
      </c>
      <c r="L17" s="230">
        <f t="shared" ca="1" si="7"/>
        <v>3568.7861183480577</v>
      </c>
      <c r="M17" s="230">
        <f t="shared" ca="1" si="7"/>
        <v>3661.5745574251082</v>
      </c>
      <c r="N17" s="230">
        <f t="shared" ca="1" si="7"/>
        <v>7348.4370390403237</v>
      </c>
      <c r="O17" s="230">
        <f t="shared" ca="1" si="7"/>
        <v>7708.4377456281272</v>
      </c>
      <c r="P17" s="386"/>
      <c r="Q17" s="159"/>
    </row>
    <row r="18" spans="1:17" x14ac:dyDescent="0.25">
      <c r="A18" s="450">
        <f>ROUND(D18/1000,2)</f>
        <v>5.25</v>
      </c>
      <c r="B18" s="167" t="s">
        <v>621</v>
      </c>
      <c r="C18" s="453" t="s">
        <v>19</v>
      </c>
      <c r="D18" s="248">
        <f>SUM(F18:O18)</f>
        <v>5246.7386048139633</v>
      </c>
      <c r="E18" s="156">
        <f t="shared" si="5"/>
        <v>5</v>
      </c>
      <c r="F18" s="230">
        <f t="shared" ref="F18:O18" si="8">F11</f>
        <v>57.6</v>
      </c>
      <c r="G18" s="230">
        <f t="shared" si="8"/>
        <v>58.982399999999998</v>
      </c>
      <c r="H18" s="230">
        <f t="shared" si="8"/>
        <v>583.84711680000009</v>
      </c>
      <c r="I18" s="230">
        <f t="shared" si="8"/>
        <v>599.61098895359999</v>
      </c>
      <c r="J18" s="230">
        <f t="shared" si="8"/>
        <v>615.80048565534719</v>
      </c>
      <c r="K18" s="230">
        <f t="shared" si="8"/>
        <v>632.42709876804145</v>
      </c>
      <c r="L18" s="230">
        <f t="shared" si="8"/>
        <v>648.87020333601049</v>
      </c>
      <c r="M18" s="230">
        <f t="shared" si="8"/>
        <v>665.7408286227469</v>
      </c>
      <c r="N18" s="230">
        <f t="shared" si="8"/>
        <v>683.05009016693828</v>
      </c>
      <c r="O18" s="230">
        <f t="shared" si="8"/>
        <v>700.80939251127859</v>
      </c>
      <c r="P18" s="386"/>
      <c r="Q18" s="159"/>
    </row>
    <row r="19" spans="1:17" x14ac:dyDescent="0.25">
      <c r="A19" s="450">
        <f>ROUND(D19/1000,2)</f>
        <v>19.940000000000001</v>
      </c>
      <c r="B19" s="211" t="s">
        <v>548</v>
      </c>
      <c r="C19" s="453" t="s">
        <v>19</v>
      </c>
      <c r="D19" s="248">
        <f>SUM(F19:O19)</f>
        <v>19937.606698293057</v>
      </c>
      <c r="E19" s="156">
        <f t="shared" si="5"/>
        <v>20</v>
      </c>
      <c r="F19" s="230">
        <f>Персонал!F38</f>
        <v>218.88</v>
      </c>
      <c r="G19" s="230">
        <f>Персонал!G38</f>
        <v>224.13311999999999</v>
      </c>
      <c r="H19" s="230">
        <f>Персонал!H38</f>
        <v>2218.6190438399999</v>
      </c>
      <c r="I19" s="230">
        <f>Персонал!I38</f>
        <v>2278.5217580236799</v>
      </c>
      <c r="J19" s="230">
        <f>Персонал!J38</f>
        <v>2340.0418454903192</v>
      </c>
      <c r="K19" s="230">
        <f>Персонал!K38</f>
        <v>2403.2229753185575</v>
      </c>
      <c r="L19" s="230">
        <f>Персонал!L38</f>
        <v>2465.70677267684</v>
      </c>
      <c r="M19" s="230">
        <f>Персонал!M38</f>
        <v>2529.8151487664381</v>
      </c>
      <c r="N19" s="230">
        <f>Персонал!N38</f>
        <v>2595.5903426343657</v>
      </c>
      <c r="O19" s="230">
        <f>Персонал!O38</f>
        <v>2663.0756915428587</v>
      </c>
      <c r="P19" s="386"/>
      <c r="Q19" s="159"/>
    </row>
    <row r="20" spans="1:17" x14ac:dyDescent="0.25">
      <c r="A20" s="403"/>
      <c r="B20" s="167"/>
      <c r="C20" s="189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159"/>
    </row>
    <row r="21" spans="1:17" x14ac:dyDescent="0.25">
      <c r="A21" s="403"/>
      <c r="B21" s="167"/>
      <c r="C21" s="189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159"/>
    </row>
    <row r="22" spans="1:17" ht="28.5" x14ac:dyDescent="0.25">
      <c r="A22" s="450">
        <f ca="1">ROUND(D22/1000,2)</f>
        <v>115.18</v>
      </c>
      <c r="B22" s="451" t="s">
        <v>757</v>
      </c>
      <c r="C22" s="244" t="s">
        <v>19</v>
      </c>
      <c r="D22" s="228">
        <f ca="1">SUM(D23:D27)</f>
        <v>115183.13491834505</v>
      </c>
      <c r="E22" s="156" t="str">
        <f ca="1">CONCATENATE("всего: ",(ROUND(D22/1000,2)))</f>
        <v>всего: 115,18</v>
      </c>
      <c r="F22" s="228">
        <f t="shared" ref="F22:O22" ca="1" si="9">SUM(F23:F27)</f>
        <v>-799.05306666666672</v>
      </c>
      <c r="G22" s="228">
        <f t="shared" ca="1" si="9"/>
        <v>-1457.9234069333334</v>
      </c>
      <c r="H22" s="228">
        <f t="shared" ca="1" si="9"/>
        <v>2448.533596362895</v>
      </c>
      <c r="I22" s="228">
        <f t="shared" ca="1" si="9"/>
        <v>14546.9367110516</v>
      </c>
      <c r="J22" s="228">
        <f t="shared" ca="1" si="9"/>
        <v>15438.171471598067</v>
      </c>
      <c r="K22" s="228">
        <f t="shared" ca="1" si="9"/>
        <v>16285.904059469303</v>
      </c>
      <c r="L22" s="228">
        <f t="shared" ca="1" si="9"/>
        <v>17192.497645084681</v>
      </c>
      <c r="M22" s="228">
        <f t="shared" ca="1" si="9"/>
        <v>18367.937969466082</v>
      </c>
      <c r="N22" s="228">
        <f t="shared" ca="1" si="9"/>
        <v>15817.051120154385</v>
      </c>
      <c r="O22" s="228">
        <f t="shared" ca="1" si="9"/>
        <v>17343.078818758037</v>
      </c>
      <c r="P22" s="385"/>
      <c r="Q22" s="159"/>
    </row>
    <row r="23" spans="1:17" ht="30" x14ac:dyDescent="0.25">
      <c r="A23" s="450">
        <f ca="1">ROUND(D23/1000,2)</f>
        <v>2.0699999999999998</v>
      </c>
      <c r="B23" s="167" t="s">
        <v>785</v>
      </c>
      <c r="C23" s="244" t="s">
        <v>19</v>
      </c>
      <c r="D23" s="411">
        <f ca="1">SUM(F23:O23)</f>
        <v>2065.0067355662677</v>
      </c>
      <c r="E23" s="71"/>
      <c r="F23" s="390">
        <f ca="1">НалПрибыль!F16-F7</f>
        <v>-108.28799999999995</v>
      </c>
      <c r="G23" s="390">
        <f ca="1">НалПрибыль!G16-G7</f>
        <v>-183.59751199999994</v>
      </c>
      <c r="H23" s="390">
        <f ca="1">НалПрибыль!H16-H7</f>
        <v>-315.19477290304746</v>
      </c>
      <c r="I23" s="390">
        <f ca="1">НалПрибыль!I16-I7</f>
        <v>346.56305322678429</v>
      </c>
      <c r="J23" s="390">
        <f ca="1">НалПрибыль!J16-J7</f>
        <v>369.59216483403895</v>
      </c>
      <c r="K23" s="390">
        <f ca="1">НалПрибыль!K16-K7</f>
        <v>322.37770283720283</v>
      </c>
      <c r="L23" s="390">
        <f ca="1">НалПрибыль!L16-L7</f>
        <v>294.339668776189</v>
      </c>
      <c r="M23" s="390">
        <f ca="1">НалПрибыль!M16-M7</f>
        <v>364.06770502625659</v>
      </c>
      <c r="N23" s="390">
        <f ca="1">НалПрибыль!N16-N7</f>
        <v>410.20132064448239</v>
      </c>
      <c r="O23" s="390">
        <f ca="1">НалПрибыль!O16-O7</f>
        <v>564.94540512436129</v>
      </c>
      <c r="P23" s="390"/>
      <c r="Q23" s="159"/>
    </row>
    <row r="24" spans="1:17" ht="30" x14ac:dyDescent="0.25">
      <c r="A24" s="450">
        <f ca="1">ROUND(D24/1000,2)</f>
        <v>45.62</v>
      </c>
      <c r="B24" s="167" t="s">
        <v>786</v>
      </c>
      <c r="C24" s="244" t="s">
        <v>19</v>
      </c>
      <c r="D24" s="411">
        <f ca="1">SUM(F24:O24)</f>
        <v>45621.808087899604</v>
      </c>
      <c r="E24" s="71"/>
      <c r="F24" s="390">
        <f ca="1">НалПрибыль!F17-F8</f>
        <v>-1549.0717333333334</v>
      </c>
      <c r="G24" s="390">
        <f ca="1">НалПрибыль!G17-G8</f>
        <v>-2652.5585882666664</v>
      </c>
      <c r="H24" s="390">
        <f ca="1">НалПрибыль!H17-H8</f>
        <v>-4880.2954289207237</v>
      </c>
      <c r="I24" s="390">
        <f ca="1">НалПрибыль!I17-I8</f>
        <v>6416.9750504204421</v>
      </c>
      <c r="J24" s="390">
        <f ca="1">НалПрибыль!J17-J8</f>
        <v>7140.9537702930711</v>
      </c>
      <c r="K24" s="390">
        <f ca="1">НалПрибыль!K17-K8</f>
        <v>7886.6907640097616</v>
      </c>
      <c r="L24" s="390">
        <f ca="1">НалПрибыль!L17-L8</f>
        <v>8674.2043249446397</v>
      </c>
      <c r="M24" s="390">
        <f ca="1">НалПрибыль!M17-M8</f>
        <v>9627.9248181405128</v>
      </c>
      <c r="N24" s="390">
        <f ca="1">НалПрибыль!N17-N8</f>
        <v>6873.9121049401392</v>
      </c>
      <c r="O24" s="390">
        <f ca="1">НалПрибыль!O17-O8</f>
        <v>8083.0730056717666</v>
      </c>
      <c r="P24" s="390"/>
      <c r="Q24" s="159"/>
    </row>
    <row r="25" spans="1:17" x14ac:dyDescent="0.25">
      <c r="A25" s="450">
        <f>ROUND(D25/1000,2)</f>
        <v>7.68</v>
      </c>
      <c r="B25" s="167" t="s">
        <v>758</v>
      </c>
      <c r="C25" s="453" t="s">
        <v>19</v>
      </c>
      <c r="D25" s="248">
        <f>SUM(F25:O25)</f>
        <v>7683.4999999999973</v>
      </c>
      <c r="E25" s="156">
        <f t="shared" ref="E25" si="10">ROUND(D25/1000,0)</f>
        <v>8</v>
      </c>
      <c r="F25" s="230">
        <f>НалИмущество!F21</f>
        <v>201.66666666666663</v>
      </c>
      <c r="G25" s="230">
        <f>НалИмущество!G21</f>
        <v>705.83333333333314</v>
      </c>
      <c r="H25" s="230">
        <f>НалИмущество!H21</f>
        <v>988.1666666666664</v>
      </c>
      <c r="I25" s="230">
        <f>НалИмущество!I21</f>
        <v>947.83333333333314</v>
      </c>
      <c r="J25" s="230">
        <f>НалИмущество!J21</f>
        <v>907.49999999999966</v>
      </c>
      <c r="K25" s="230">
        <f>НалИмущество!K21</f>
        <v>867.1666666666664</v>
      </c>
      <c r="L25" s="230">
        <f>НалИмущество!L21</f>
        <v>826.8333333333328</v>
      </c>
      <c r="M25" s="230">
        <f>НалИмущество!M21</f>
        <v>786.49999999999966</v>
      </c>
      <c r="N25" s="230">
        <f>НалИмущество!N21</f>
        <v>746.16666666666606</v>
      </c>
      <c r="O25" s="230">
        <f>НалИмущество!O21</f>
        <v>705.83333333333292</v>
      </c>
      <c r="P25" s="386"/>
      <c r="Q25" s="159"/>
    </row>
    <row r="26" spans="1:17" x14ac:dyDescent="0.25">
      <c r="A26" s="450">
        <f>ROUND(D26/1000,2)</f>
        <v>59.81</v>
      </c>
      <c r="B26" s="167" t="s">
        <v>774</v>
      </c>
      <c r="C26" s="453" t="s">
        <v>19</v>
      </c>
      <c r="D26" s="248">
        <f>SUM(F26:O26)</f>
        <v>59812.820094879178</v>
      </c>
      <c r="E26" s="156"/>
      <c r="F26" s="386">
        <f>Персонал!F42</f>
        <v>656.64</v>
      </c>
      <c r="G26" s="386">
        <f>Персонал!G42</f>
        <v>672.39936</v>
      </c>
      <c r="H26" s="386">
        <f>Персонал!H42</f>
        <v>6655.8571315199997</v>
      </c>
      <c r="I26" s="386">
        <f>Персонал!I42</f>
        <v>6835.5652740710393</v>
      </c>
      <c r="J26" s="386">
        <f>Персонал!J42</f>
        <v>7020.1255364709577</v>
      </c>
      <c r="K26" s="386">
        <f>Персонал!K42</f>
        <v>7209.6689259556724</v>
      </c>
      <c r="L26" s="386">
        <f>Персонал!L42</f>
        <v>7397.1203180305201</v>
      </c>
      <c r="M26" s="386">
        <f>Персонал!M42</f>
        <v>7589.4454462993144</v>
      </c>
      <c r="N26" s="386">
        <f>Персонал!N42</f>
        <v>7786.7710279030971</v>
      </c>
      <c r="O26" s="386">
        <f>Персонал!O42</f>
        <v>7989.2270746285758</v>
      </c>
      <c r="P26" s="386"/>
      <c r="Q26" s="159"/>
    </row>
    <row r="27" spans="1:17" x14ac:dyDescent="0.25">
      <c r="A27" s="71"/>
      <c r="B27" s="167"/>
      <c r="C27" s="189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159"/>
    </row>
    <row r="28" spans="1:17" ht="28.5" x14ac:dyDescent="0.25">
      <c r="A28" s="71"/>
      <c r="B28" s="451" t="s">
        <v>757</v>
      </c>
      <c r="C28" s="189"/>
      <c r="D28" s="228">
        <f ca="1">SUM(D29:D32)</f>
        <v>115183.13491834505</v>
      </c>
      <c r="E28" s="156" t="str">
        <f ca="1">CONCATENATE("всего: ",(ROUND(D28/1000,2)))</f>
        <v>всего: 115,18</v>
      </c>
      <c r="F28" s="228">
        <f t="shared" ref="F28:O28" ca="1" si="11">SUM(F29:F32)</f>
        <v>-799.05306666666672</v>
      </c>
      <c r="G28" s="228">
        <f t="shared" ca="1" si="11"/>
        <v>-1457.9234069333334</v>
      </c>
      <c r="H28" s="228">
        <f t="shared" ca="1" si="11"/>
        <v>2448.533596362895</v>
      </c>
      <c r="I28" s="228">
        <f t="shared" ca="1" si="11"/>
        <v>14546.9367110516</v>
      </c>
      <c r="J28" s="228">
        <f t="shared" ca="1" si="11"/>
        <v>15438.171471598067</v>
      </c>
      <c r="K28" s="228">
        <f t="shared" ca="1" si="11"/>
        <v>16285.904059469303</v>
      </c>
      <c r="L28" s="228">
        <f t="shared" ca="1" si="11"/>
        <v>17192.497645084681</v>
      </c>
      <c r="M28" s="228">
        <f t="shared" ca="1" si="11"/>
        <v>18367.937969466082</v>
      </c>
      <c r="N28" s="228">
        <f t="shared" ca="1" si="11"/>
        <v>15817.051120154385</v>
      </c>
      <c r="O28" s="228">
        <f t="shared" ca="1" si="11"/>
        <v>17343.078818758037</v>
      </c>
      <c r="P28" s="385"/>
      <c r="Q28" s="159"/>
    </row>
    <row r="29" spans="1:17" x14ac:dyDescent="0.25">
      <c r="A29" s="71"/>
      <c r="B29" s="167" t="s">
        <v>753</v>
      </c>
      <c r="C29" s="453" t="s">
        <v>19</v>
      </c>
      <c r="D29" s="248">
        <f ca="1">SUM(F29:O29)</f>
        <v>2065.0067355662677</v>
      </c>
      <c r="E29" s="156">
        <f t="shared" ref="E29:E31" ca="1" si="12">ROUND(D29/1000,0)</f>
        <v>2</v>
      </c>
      <c r="F29" s="230">
        <f ca="1">F23</f>
        <v>-108.28799999999995</v>
      </c>
      <c r="G29" s="230">
        <f t="shared" ref="G29:O29" ca="1" si="13">G23</f>
        <v>-183.59751199999994</v>
      </c>
      <c r="H29" s="230">
        <f t="shared" ca="1" si="13"/>
        <v>-315.19477290304746</v>
      </c>
      <c r="I29" s="230">
        <f t="shared" ca="1" si="13"/>
        <v>346.56305322678429</v>
      </c>
      <c r="J29" s="230">
        <f t="shared" ca="1" si="13"/>
        <v>369.59216483403895</v>
      </c>
      <c r="K29" s="230">
        <f t="shared" ca="1" si="13"/>
        <v>322.37770283720283</v>
      </c>
      <c r="L29" s="230">
        <f t="shared" ca="1" si="13"/>
        <v>294.339668776189</v>
      </c>
      <c r="M29" s="230">
        <f t="shared" ca="1" si="13"/>
        <v>364.06770502625659</v>
      </c>
      <c r="N29" s="230">
        <f t="shared" ca="1" si="13"/>
        <v>410.20132064448239</v>
      </c>
      <c r="O29" s="230">
        <f t="shared" ca="1" si="13"/>
        <v>564.94540512436129</v>
      </c>
      <c r="P29" s="386"/>
      <c r="Q29" s="159"/>
    </row>
    <row r="30" spans="1:17" x14ac:dyDescent="0.25">
      <c r="A30" s="71"/>
      <c r="B30" s="167" t="s">
        <v>754</v>
      </c>
      <c r="C30" s="453" t="s">
        <v>19</v>
      </c>
      <c r="D30" s="248">
        <f ca="1">SUM(F30:O30)</f>
        <v>53305.308087899612</v>
      </c>
      <c r="E30" s="156">
        <f t="shared" ca="1" si="12"/>
        <v>53</v>
      </c>
      <c r="F30" s="230">
        <f ca="1">F24+F25</f>
        <v>-1347.4050666666667</v>
      </c>
      <c r="G30" s="230">
        <f t="shared" ref="G30:O30" ca="1" si="14">G24+G25</f>
        <v>-1946.7252549333334</v>
      </c>
      <c r="H30" s="230">
        <f t="shared" ca="1" si="14"/>
        <v>-3892.1287622540572</v>
      </c>
      <c r="I30" s="230">
        <f t="shared" ca="1" si="14"/>
        <v>7364.8083837537752</v>
      </c>
      <c r="J30" s="230">
        <f t="shared" ca="1" si="14"/>
        <v>8048.4537702930711</v>
      </c>
      <c r="K30" s="230">
        <f t="shared" ca="1" si="14"/>
        <v>8753.8574306764276</v>
      </c>
      <c r="L30" s="230">
        <f t="shared" ca="1" si="14"/>
        <v>9501.0376582779718</v>
      </c>
      <c r="M30" s="230">
        <f t="shared" ca="1" si="14"/>
        <v>10414.424818140513</v>
      </c>
      <c r="N30" s="230">
        <f t="shared" ca="1" si="14"/>
        <v>7620.0787716068053</v>
      </c>
      <c r="O30" s="230">
        <f t="shared" ca="1" si="14"/>
        <v>8788.9063390050997</v>
      </c>
      <c r="P30" s="386"/>
      <c r="Q30" s="159"/>
    </row>
    <row r="31" spans="1:17" x14ac:dyDescent="0.25">
      <c r="A31" s="71"/>
      <c r="B31" s="167" t="s">
        <v>621</v>
      </c>
      <c r="C31" s="453" t="s">
        <v>19</v>
      </c>
      <c r="D31" s="248">
        <f>SUM(F31:O31)</f>
        <v>0</v>
      </c>
      <c r="E31" s="156">
        <f t="shared" si="12"/>
        <v>0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386"/>
      <c r="Q31" s="159"/>
    </row>
    <row r="32" spans="1:17" x14ac:dyDescent="0.25">
      <c r="A32" s="401" t="str" cm="1">
        <f t="array" aca="1" ref="A32" ca="1">HYPERLINK(CELL("адрес",Персонал!A42),"источник")</f>
        <v>источник</v>
      </c>
      <c r="B32" s="167" t="s">
        <v>774</v>
      </c>
      <c r="C32" s="453" t="s">
        <v>19</v>
      </c>
      <c r="D32" s="248">
        <f>SUM(F32:O32)</f>
        <v>59812.820094879178</v>
      </c>
      <c r="E32" s="156"/>
      <c r="F32" s="386">
        <f>Персонал!F42</f>
        <v>656.64</v>
      </c>
      <c r="G32" s="386">
        <f>Персонал!G42</f>
        <v>672.39936</v>
      </c>
      <c r="H32" s="386">
        <f>Персонал!H42</f>
        <v>6655.8571315199997</v>
      </c>
      <c r="I32" s="386">
        <f>Персонал!I42</f>
        <v>6835.5652740710393</v>
      </c>
      <c r="J32" s="386">
        <f>Персонал!J42</f>
        <v>7020.1255364709577</v>
      </c>
      <c r="K32" s="386">
        <f>Персонал!K42</f>
        <v>7209.6689259556724</v>
      </c>
      <c r="L32" s="386">
        <f>Персонал!L42</f>
        <v>7397.1203180305201</v>
      </c>
      <c r="M32" s="386">
        <f>Персонал!M42</f>
        <v>7589.4454462993144</v>
      </c>
      <c r="N32" s="386">
        <f>Персонал!N42</f>
        <v>7786.7710279030971</v>
      </c>
      <c r="O32" s="386">
        <f>Персонал!O42</f>
        <v>7989.2270746285758</v>
      </c>
      <c r="P32" s="386"/>
      <c r="Q32" s="159"/>
    </row>
    <row r="33" spans="2:17" x14ac:dyDescent="0.25">
      <c r="B33" s="71"/>
      <c r="C33" s="189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159"/>
    </row>
    <row r="34" spans="2:17" x14ac:dyDescent="0.25">
      <c r="B34" s="71"/>
      <c r="C34" s="189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159"/>
    </row>
    <row r="35" spans="2:17" x14ac:dyDescent="0.25">
      <c r="B35" s="71"/>
      <c r="C35" s="189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159"/>
    </row>
    <row r="36" spans="2:17" x14ac:dyDescent="0.25">
      <c r="B36" s="452" t="str" cm="1">
        <f t="array" aca="1" ref="B36" ca="1">HYPERLINK(CELL("адрес",БДР!$A$1),"Перейти на лист БДР")</f>
        <v>Перейти на лист БДР</v>
      </c>
      <c r="C36" s="189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7" x14ac:dyDescent="0.25">
      <c r="B37" s="452" t="str" cm="1">
        <f t="array" aca="1" ref="B37" ca="1">HYPERLINK(CELL("адрес",БДДС!$A$1),"Перейти на лист БДДС")</f>
        <v>Перейти на лист БДДС</v>
      </c>
      <c r="C37" s="189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7" x14ac:dyDescent="0.25">
      <c r="B38" s="452" t="str" cm="1">
        <f t="array" aca="1" ref="B38" ca="1">HYPERLINK(CELL("адрес",Баланс!$A$1),"Перейти на лист Баланс")</f>
        <v>Перейти на лист Баланс</v>
      </c>
      <c r="C38" s="189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7" x14ac:dyDescent="0.25">
      <c r="B39" s="452" t="str" cm="1">
        <f t="array" aca="1" ref="B39" ca="1">HYPERLINK(CELL("адрес",Дашборд_ИтогТабл!$A$1),"Перейти на лист Дашборд_1")</f>
        <v>Перейти на лист Дашборд_1</v>
      </c>
      <c r="C39" s="189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7" x14ac:dyDescent="0.25">
      <c r="B40" s="452" t="str" cm="1">
        <f t="array" aca="1" ref="B40" ca="1">HYPERLINK(CELL("адрес",Дашборд_Основной!$A$1),"Перейти на лист Дашборд_Общий")</f>
        <v>Перейти на лист Дашборд_Общий</v>
      </c>
      <c r="C40" s="189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7" x14ac:dyDescent="0.25">
      <c r="B41" s="452" t="str" cm="1">
        <f t="array" aca="1" ref="B41" ca="1">HYPERLINK(CELL("адрес",Дашборд_налоги!$A$1),"Перейти на лист Дашборд_Налоги")</f>
        <v>Перейти на лист Дашборд_Налоги</v>
      </c>
      <c r="C41" s="189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7" x14ac:dyDescent="0.25">
      <c r="B42" s="452"/>
      <c r="C42" s="189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</sheetData>
  <hyperlinks>
    <hyperlink ref="I1" location="Контроль!A1" display="Контроль!A1" xr:uid="{C2C31BEF-7F5A-4415-AB22-DAA4A2DE4A4F}"/>
  </hyperlinks>
  <pageMargins left="0.70866141732283472" right="0.70866141732283472" top="0.74803149606299213" bottom="0.74803149606299213" header="0.31496062992125984" footer="0.31496062992125984"/>
  <pageSetup paperSize="9" scale="81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5EFF-AE34-4C55-A764-8F89589865A2}">
  <sheetPr codeName="Лист31">
    <tabColor theme="5" tint="0.79998168889431442"/>
    <outlinePr summaryRight="0"/>
    <pageSetUpPr fitToPage="1"/>
  </sheetPr>
  <dimension ref="A1:AQ207"/>
  <sheetViews>
    <sheetView zoomScaleNormal="100" workbookViewId="0">
      <pane xSplit="4" ySplit="4" topLeftCell="E5" activePane="bottomRight" state="frozen"/>
      <selection activeCell="C1" sqref="C1"/>
      <selection pane="topRight" activeCell="C1" sqref="C1"/>
      <selection pane="bottomLeft" activeCell="C1" sqref="C1"/>
      <selection pane="bottomRight" activeCell="Q14" sqref="Q14"/>
    </sheetView>
  </sheetViews>
  <sheetFormatPr defaultRowHeight="15" x14ac:dyDescent="0.25"/>
  <cols>
    <col min="1" max="1" width="8.28515625" customWidth="1"/>
    <col min="2" max="2" width="27.7109375" style="2" customWidth="1"/>
    <col min="3" max="3" width="11" style="5" customWidth="1"/>
    <col min="4" max="4" width="11" customWidth="1"/>
    <col min="5" max="5" width="2.28515625" customWidth="1"/>
    <col min="17" max="17" width="10.5703125" customWidth="1"/>
  </cols>
  <sheetData>
    <row r="1" spans="1:18" ht="18.75" x14ac:dyDescent="0.25">
      <c r="A1" s="690" t="s">
        <v>712</v>
      </c>
      <c r="B1" s="167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</row>
    <row r="2" spans="1:18" x14ac:dyDescent="0.25">
      <c r="A2" s="71" t="str">
        <f>Паспорт_ФМ_резидент!B7</f>
        <v>Название инвест. проект 01</v>
      </c>
      <c r="B2" s="167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</row>
    <row r="3" spans="1:18" s="18" customFormat="1" ht="28.5" x14ac:dyDescent="0.25">
      <c r="A3" s="78" t="s">
        <v>2</v>
      </c>
      <c r="B3" s="92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0">G3+1</f>
        <v>2027</v>
      </c>
      <c r="I3" s="127">
        <f t="shared" si="0"/>
        <v>2028</v>
      </c>
      <c r="J3" s="127">
        <f t="shared" si="0"/>
        <v>2029</v>
      </c>
      <c r="K3" s="127">
        <f t="shared" si="0"/>
        <v>2030</v>
      </c>
      <c r="L3" s="127">
        <f t="shared" si="0"/>
        <v>2031</v>
      </c>
      <c r="M3" s="127">
        <f t="shared" si="0"/>
        <v>2032</v>
      </c>
      <c r="N3" s="127">
        <f t="shared" si="0"/>
        <v>2033</v>
      </c>
      <c r="O3" s="127">
        <f t="shared" si="0"/>
        <v>2034</v>
      </c>
      <c r="P3" s="155"/>
      <c r="Q3" s="155"/>
      <c r="R3" s="155"/>
    </row>
    <row r="4" spans="1:18" ht="8.1" customHeight="1" x14ac:dyDescent="0.25">
      <c r="A4" s="128"/>
      <c r="B4" s="264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71"/>
      <c r="Q4" s="71"/>
      <c r="R4" s="71"/>
    </row>
    <row r="5" spans="1:18" ht="20.100000000000001" customHeight="1" x14ac:dyDescent="0.25">
      <c r="A5" s="515" t="s">
        <v>765</v>
      </c>
      <c r="B5" s="523"/>
      <c r="C5" s="536"/>
      <c r="D5" s="542"/>
      <c r="E5" s="71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71"/>
      <c r="Q5" s="71"/>
      <c r="R5" s="71"/>
    </row>
    <row r="6" spans="1:18" ht="57" customHeight="1" x14ac:dyDescent="0.25">
      <c r="A6" s="516"/>
      <c r="B6" s="524" t="s">
        <v>710</v>
      </c>
      <c r="C6" s="537" t="s">
        <v>27</v>
      </c>
      <c r="D6" s="543">
        <v>0</v>
      </c>
      <c r="E6" s="7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71"/>
      <c r="Q6" s="71"/>
      <c r="R6" s="71"/>
    </row>
    <row r="7" spans="1:18" ht="57" customHeight="1" x14ac:dyDescent="0.25">
      <c r="A7" s="516"/>
      <c r="B7" s="524" t="s">
        <v>711</v>
      </c>
      <c r="C7" s="537" t="s">
        <v>27</v>
      </c>
      <c r="D7" s="543">
        <v>0</v>
      </c>
      <c r="E7" s="7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505" t="s">
        <v>882</v>
      </c>
      <c r="Q7" s="507" t="s">
        <v>883</v>
      </c>
      <c r="R7" s="71"/>
    </row>
    <row r="8" spans="1:18" ht="57" customHeight="1" x14ac:dyDescent="0.25">
      <c r="A8" s="71"/>
      <c r="B8" s="524" t="s">
        <v>909</v>
      </c>
      <c r="C8" s="537" t="s">
        <v>775</v>
      </c>
      <c r="D8" s="543">
        <v>0</v>
      </c>
      <c r="E8" s="7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506">
        <f ca="1">Макро!F17</f>
        <v>0.11356407843137253</v>
      </c>
      <c r="Q8" s="508">
        <f ca="1">P8+D8</f>
        <v>0.11356407843137253</v>
      </c>
      <c r="R8" s="71"/>
    </row>
    <row r="9" spans="1:18" ht="57" customHeight="1" x14ac:dyDescent="0.25">
      <c r="A9" s="71"/>
      <c r="B9" s="524" t="s">
        <v>910</v>
      </c>
      <c r="C9" s="537" t="s">
        <v>775</v>
      </c>
      <c r="D9" s="543">
        <v>0</v>
      </c>
      <c r="E9" s="7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506">
        <f>Макро!F19</f>
        <v>0.12</v>
      </c>
      <c r="Q9" s="508">
        <f>P9+D9</f>
        <v>0.12</v>
      </c>
      <c r="R9" s="71"/>
    </row>
    <row r="10" spans="1:18" x14ac:dyDescent="0.25">
      <c r="A10" s="257" t="s">
        <v>174</v>
      </c>
      <c r="B10" s="92"/>
      <c r="C10" s="78"/>
      <c r="D10" s="78"/>
      <c r="E10" s="71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1"/>
      <c r="Q10" s="71"/>
      <c r="R10" s="71"/>
    </row>
    <row r="11" spans="1:18" ht="43.5" x14ac:dyDescent="0.25">
      <c r="A11" s="517" t="s">
        <v>178</v>
      </c>
      <c r="B11" s="183" t="str">
        <f>CONCATENATE("DCF накопленным итогом при ставке дисконтирования ",(D8*100),"%")</f>
        <v>DCF накопленным итогом при ставке дисконтирования 0%</v>
      </c>
      <c r="C11" s="270" t="s">
        <v>19</v>
      </c>
      <c r="D11" s="228">
        <f ca="1">XNPV(Q8,F82:O82,F79:O79)</f>
        <v>130917.76033869467</v>
      </c>
      <c r="E11" s="71"/>
      <c r="F11" s="250">
        <f ca="1">XNPV($Q$8,$F$82:F82,$F$79:F79)</f>
        <v>-26422.135733333333</v>
      </c>
      <c r="G11" s="250">
        <f ca="1">XNPV($Q$8,$F$82:G82,$F$79:G79)</f>
        <v>-89828.651884364226</v>
      </c>
      <c r="H11" s="250">
        <f ca="1">XNPV($Q$8,$F$82:H82,$F$79:H79)</f>
        <v>-101344.11955592071</v>
      </c>
      <c r="I11" s="250">
        <f ca="1">XNPV($Q$8,$F$82:I82,$F$79:I79)</f>
        <v>-64433.781152236166</v>
      </c>
      <c r="J11" s="250">
        <f ca="1">XNPV($Q$8,$F$82:J82,$F$79:J79)</f>
        <v>-28493.197334378543</v>
      </c>
      <c r="K11" s="250">
        <f ca="1">XNPV($Q$8,$F$82:K82,$F$79:K79)</f>
        <v>6325.9266713910692</v>
      </c>
      <c r="L11" s="250">
        <f ca="1">XNPV($Q$8,$F$82:L82,$F$79:L79)</f>
        <v>40012.467912696331</v>
      </c>
      <c r="M11" s="250">
        <f ca="1">XNPV($Q$8,$F$82:M82,$F$79:M79)</f>
        <v>72528.198727929266</v>
      </c>
      <c r="N11" s="250">
        <f ca="1">XNPV($Q$8,$F$82:N82,$F$79:N79)</f>
        <v>102315.851189993</v>
      </c>
      <c r="O11" s="250">
        <f ca="1">XNPV($Q$8,$F$82:O82,$F$79:O79)</f>
        <v>130917.76033869467</v>
      </c>
      <c r="P11" s="71"/>
      <c r="Q11" s="509">
        <f ca="1">КПЭ!D6</f>
        <v>130917.76033869467</v>
      </c>
      <c r="R11" s="511" t="s">
        <v>899</v>
      </c>
    </row>
    <row r="12" spans="1:18" x14ac:dyDescent="0.25">
      <c r="A12" s="260"/>
      <c r="B12" s="183" t="s">
        <v>694</v>
      </c>
      <c r="C12" s="271" t="s">
        <v>131</v>
      </c>
      <c r="D12" s="275">
        <f ca="1">SUM(F12:O12)+1</f>
        <v>6</v>
      </c>
      <c r="E12" s="71"/>
      <c r="F12" s="17">
        <f t="shared" ref="F12:O12" ca="1" si="1">IF(F83&lt;0,1,0)</f>
        <v>1</v>
      </c>
      <c r="G12" s="17">
        <f t="shared" ca="1" si="1"/>
        <v>1</v>
      </c>
      <c r="H12" s="17">
        <f t="shared" ca="1" si="1"/>
        <v>1</v>
      </c>
      <c r="I12" s="17">
        <f t="shared" ca="1" si="1"/>
        <v>1</v>
      </c>
      <c r="J12" s="17">
        <f t="shared" ca="1" si="1"/>
        <v>1</v>
      </c>
      <c r="K12" s="17">
        <f t="shared" ca="1" si="1"/>
        <v>0</v>
      </c>
      <c r="L12" s="17">
        <f t="shared" ca="1" si="1"/>
        <v>0</v>
      </c>
      <c r="M12" s="17">
        <f t="shared" ca="1" si="1"/>
        <v>0</v>
      </c>
      <c r="N12" s="17">
        <f t="shared" ca="1" si="1"/>
        <v>0</v>
      </c>
      <c r="O12" s="17">
        <f t="shared" ca="1" si="1"/>
        <v>0</v>
      </c>
      <c r="P12" s="71"/>
      <c r="Q12" s="510">
        <f ca="1">D11-Q11</f>
        <v>0</v>
      </c>
      <c r="R12" s="511" t="s">
        <v>884</v>
      </c>
    </row>
    <row r="13" spans="1:18" ht="29.25" x14ac:dyDescent="0.25">
      <c r="A13" s="260"/>
      <c r="B13" s="183" t="s">
        <v>695</v>
      </c>
      <c r="C13" s="271" t="s">
        <v>131</v>
      </c>
      <c r="D13" s="275">
        <f ca="1">SUM(F13:O13)+1</f>
        <v>6</v>
      </c>
      <c r="E13" s="71"/>
      <c r="F13" s="17">
        <f t="shared" ref="F13:O13" ca="1" si="2">IF(F11&lt;0,1,0)</f>
        <v>1</v>
      </c>
      <c r="G13" s="17">
        <f t="shared" ca="1" si="2"/>
        <v>1</v>
      </c>
      <c r="H13" s="17">
        <f t="shared" ca="1" si="2"/>
        <v>1</v>
      </c>
      <c r="I13" s="17">
        <f t="shared" ca="1" si="2"/>
        <v>1</v>
      </c>
      <c r="J13" s="17">
        <f t="shared" ca="1" si="2"/>
        <v>1</v>
      </c>
      <c r="K13" s="17">
        <f t="shared" ca="1" si="2"/>
        <v>0</v>
      </c>
      <c r="L13" s="17">
        <f t="shared" ca="1" si="2"/>
        <v>0</v>
      </c>
      <c r="M13" s="17">
        <f t="shared" ca="1" si="2"/>
        <v>0</v>
      </c>
      <c r="N13" s="17">
        <f t="shared" ca="1" si="2"/>
        <v>0</v>
      </c>
      <c r="O13" s="17">
        <f t="shared" ca="1" si="2"/>
        <v>0</v>
      </c>
      <c r="P13" s="71"/>
      <c r="Q13" s="71"/>
      <c r="R13" s="71"/>
    </row>
    <row r="14" spans="1:18" ht="43.5" x14ac:dyDescent="0.25">
      <c r="A14" s="517" t="s">
        <v>180</v>
      </c>
      <c r="B14" s="183" t="s">
        <v>696</v>
      </c>
      <c r="C14" s="271" t="s">
        <v>27</v>
      </c>
      <c r="D14" s="276">
        <f ca="1">XIRR(F82:O82,F79:O79)</f>
        <v>0.32991750836372369</v>
      </c>
      <c r="E14" s="7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71"/>
      <c r="Q14" s="71"/>
      <c r="R14" s="71"/>
    </row>
    <row r="15" spans="1:18" ht="42.75" x14ac:dyDescent="0.25">
      <c r="A15" s="516"/>
      <c r="B15" s="265" t="str">
        <f>CONCATENATE("PI - индекс доходности при ставке дисконтирования ",(D8*100),"%")</f>
        <v>PI - индекс доходности при ставке дисконтирования 0%</v>
      </c>
      <c r="C15" s="270" t="s">
        <v>27</v>
      </c>
      <c r="D15" s="277">
        <f ca="1">D11/-D81</f>
        <v>1.7455701378492623</v>
      </c>
      <c r="E15" s="7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71"/>
      <c r="Q15" s="71"/>
      <c r="R15" s="71"/>
    </row>
    <row r="16" spans="1:18" x14ac:dyDescent="0.25">
      <c r="A16" s="516"/>
      <c r="B16" s="188"/>
      <c r="C16" s="516"/>
      <c r="D16" s="516"/>
      <c r="E16" s="7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71"/>
      <c r="Q16" s="71"/>
      <c r="R16" s="71"/>
    </row>
    <row r="17" spans="1:30" x14ac:dyDescent="0.25">
      <c r="A17" s="257" t="s">
        <v>789</v>
      </c>
      <c r="B17" s="92"/>
      <c r="C17" s="78"/>
      <c r="D17" s="78"/>
      <c r="E17" s="71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9" spans="1:30" x14ac:dyDescent="0.25">
      <c r="A19" s="71"/>
      <c r="B19" s="167"/>
      <c r="C19" s="189"/>
      <c r="D19" s="71"/>
      <c r="E19" s="71"/>
      <c r="F19" s="459" t="s">
        <v>766</v>
      </c>
      <c r="G19" s="71"/>
      <c r="H19" s="459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x14ac:dyDescent="0.25">
      <c r="A20" s="71"/>
      <c r="B20" s="167"/>
      <c r="C20" s="189"/>
      <c r="D20" s="544"/>
      <c r="E20" s="455"/>
      <c r="F20" s="460" t="s">
        <v>698</v>
      </c>
      <c r="G20" s="457"/>
      <c r="H20" s="473" t="s">
        <v>701</v>
      </c>
      <c r="I20" s="137">
        <v>-0.1</v>
      </c>
      <c r="J20" s="137">
        <v>-0.05</v>
      </c>
      <c r="K20" s="137">
        <v>0</v>
      </c>
      <c r="L20" s="137">
        <v>0.05</v>
      </c>
      <c r="M20" s="137">
        <v>0.1</v>
      </c>
      <c r="N20" s="137">
        <v>0.15</v>
      </c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167"/>
      <c r="AC20" s="405"/>
      <c r="AD20" s="165"/>
    </row>
    <row r="21" spans="1:30" x14ac:dyDescent="0.25">
      <c r="A21" s="71"/>
      <c r="B21" s="167"/>
      <c r="C21" s="189"/>
      <c r="D21" s="211"/>
      <c r="E21" s="197"/>
      <c r="F21" s="461"/>
      <c r="G21" s="457"/>
      <c r="H21" s="473" t="s">
        <v>702</v>
      </c>
      <c r="I21" s="137">
        <v>-0.1</v>
      </c>
      <c r="J21" s="137">
        <v>-0.05</v>
      </c>
      <c r="K21" s="137">
        <v>0</v>
      </c>
      <c r="L21" s="137">
        <v>0.05</v>
      </c>
      <c r="M21" s="137">
        <v>0.1</v>
      </c>
      <c r="N21" s="137">
        <v>0.15</v>
      </c>
      <c r="O21" s="250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167"/>
      <c r="AC21" s="405"/>
      <c r="AD21" s="165"/>
    </row>
    <row r="22" spans="1:30" ht="23.1" customHeight="1" x14ac:dyDescent="0.25">
      <c r="A22" s="71"/>
      <c r="B22" s="167"/>
      <c r="C22" s="189"/>
      <c r="D22" s="545"/>
      <c r="E22" s="456" t="s">
        <v>700</v>
      </c>
      <c r="F22" s="456"/>
      <c r="G22" s="462"/>
      <c r="H22" s="456" t="s">
        <v>703</v>
      </c>
      <c r="I22" s="137">
        <v>0.1</v>
      </c>
      <c r="J22" s="137">
        <v>0.12</v>
      </c>
      <c r="K22" s="137">
        <v>0.16</v>
      </c>
      <c r="L22" s="137">
        <v>0.18</v>
      </c>
      <c r="M22" s="137">
        <v>0.2</v>
      </c>
      <c r="N22" s="137">
        <v>0.22</v>
      </c>
      <c r="O22" s="250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167"/>
      <c r="AC22" s="405"/>
      <c r="AD22" s="165"/>
    </row>
    <row r="23" spans="1:30" x14ac:dyDescent="0.25">
      <c r="A23" s="71"/>
      <c r="B23" s="167"/>
      <c r="C23" s="189"/>
      <c r="D23" s="167"/>
      <c r="E23" s="189"/>
      <c r="F23" s="462"/>
      <c r="G23" s="462"/>
      <c r="H23" s="456" t="s">
        <v>704</v>
      </c>
      <c r="I23" s="137">
        <v>0.08</v>
      </c>
      <c r="J23" s="137">
        <v>0.1</v>
      </c>
      <c r="K23" s="137">
        <v>0.12</v>
      </c>
      <c r="L23" s="137">
        <v>0.14000000000000001</v>
      </c>
      <c r="M23" s="137">
        <v>0.16</v>
      </c>
      <c r="N23" s="137">
        <v>0.18</v>
      </c>
      <c r="O23" s="250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167"/>
      <c r="AC23" s="405"/>
      <c r="AD23" s="165"/>
    </row>
    <row r="24" spans="1:30" x14ac:dyDescent="0.25">
      <c r="A24" s="71"/>
      <c r="B24" s="167"/>
      <c r="C24" s="189"/>
      <c r="D24" s="71"/>
      <c r="E24" s="71"/>
      <c r="F24" s="386"/>
      <c r="G24" s="386"/>
      <c r="H24" s="386"/>
      <c r="I24" s="386"/>
      <c r="J24" s="386"/>
      <c r="K24" s="386"/>
      <c r="L24" s="386"/>
      <c r="M24" s="386"/>
      <c r="N24" s="386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167"/>
      <c r="AC24" s="405"/>
      <c r="AD24" s="165"/>
    </row>
    <row r="25" spans="1:30" x14ac:dyDescent="0.25">
      <c r="A25" s="71"/>
      <c r="B25" s="167"/>
      <c r="C25" s="189"/>
      <c r="D25" s="71"/>
      <c r="E25" s="71"/>
      <c r="F25" s="124"/>
      <c r="G25" s="463"/>
      <c r="H25" s="463" t="s">
        <v>705</v>
      </c>
      <c r="I25" s="480"/>
      <c r="J25" s="480"/>
      <c r="K25" s="480"/>
      <c r="L25" s="480"/>
      <c r="M25" s="480"/>
      <c r="N25" s="480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167"/>
      <c r="AC25" s="405"/>
      <c r="AD25" s="165"/>
    </row>
    <row r="26" spans="1:30" x14ac:dyDescent="0.25">
      <c r="A26" s="518" t="s">
        <v>591</v>
      </c>
      <c r="B26" s="167"/>
      <c r="C26" s="189"/>
      <c r="D26" s="71"/>
      <c r="E26" s="71"/>
      <c r="F26" s="71"/>
      <c r="G26" s="471" t="str">
        <f>CONCATENATE("Возможные значения DCF 10 лет при ставке дисконт. ",(D8*100),"%")</f>
        <v>Возможные значения DCF 10 лет при ставке дисконт. 0%</v>
      </c>
      <c r="H26" s="474">
        <f ca="1">$D$11</f>
        <v>130917.76033869467</v>
      </c>
      <c r="I26" s="481">
        <f>$I$20</f>
        <v>-0.1</v>
      </c>
      <c r="J26" s="484">
        <f>$J$20</f>
        <v>-0.05</v>
      </c>
      <c r="K26" s="489">
        <f>$K$20</f>
        <v>0</v>
      </c>
      <c r="L26" s="495">
        <f>$L$20</f>
        <v>0.05</v>
      </c>
      <c r="M26" s="481">
        <f>$M$20</f>
        <v>0.1</v>
      </c>
      <c r="N26" s="481">
        <f>$N$20</f>
        <v>0.15</v>
      </c>
      <c r="O26" s="25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167"/>
      <c r="AC26" s="405"/>
      <c r="AD26" s="165"/>
    </row>
    <row r="27" spans="1:30" x14ac:dyDescent="0.25">
      <c r="A27" s="71"/>
      <c r="B27" s="167"/>
      <c r="C27" s="189"/>
      <c r="D27" s="71"/>
      <c r="E27" s="71"/>
      <c r="F27" s="457"/>
      <c r="G27" s="472" t="s">
        <v>706</v>
      </c>
      <c r="H27" s="475">
        <f>$I$21</f>
        <v>-0.1</v>
      </c>
      <c r="I27" s="8">
        <f t="dataTable" ref="I27:N32" dt2D="1" dtr="1" r1="D6" r2="D7" ca="1"/>
        <v>107535.75272183452</v>
      </c>
      <c r="J27" s="30">
        <v>131815.45058176844</v>
      </c>
      <c r="K27" s="55">
        <v>156095.14844170245</v>
      </c>
      <c r="L27" s="32">
        <v>180374.84630163643</v>
      </c>
      <c r="M27" s="39">
        <v>204654.54416157043</v>
      </c>
      <c r="N27" s="39">
        <v>228934.24202150427</v>
      </c>
      <c r="O27" s="38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167"/>
      <c r="AC27" s="405"/>
      <c r="AD27" s="165"/>
    </row>
    <row r="28" spans="1:30" x14ac:dyDescent="0.25">
      <c r="A28" s="71"/>
      <c r="B28" s="167"/>
      <c r="C28" s="189"/>
      <c r="D28" s="71"/>
      <c r="E28" s="71"/>
      <c r="F28" s="124"/>
      <c r="G28" s="457"/>
      <c r="H28" s="476">
        <f>$J$21</f>
        <v>-0.05</v>
      </c>
      <c r="I28" s="15">
        <v>94947.058670330662</v>
      </c>
      <c r="J28" s="59">
        <v>119226.75653026457</v>
      </c>
      <c r="K28" s="56">
        <v>143506.45439019855</v>
      </c>
      <c r="L28" s="60">
        <v>167786.15225013255</v>
      </c>
      <c r="M28" s="61">
        <v>192065.85011006656</v>
      </c>
      <c r="N28" s="61">
        <v>216345.54797000033</v>
      </c>
      <c r="O28" s="386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x14ac:dyDescent="0.25">
      <c r="A29" s="71"/>
      <c r="B29" s="167"/>
      <c r="C29" s="189"/>
      <c r="D29" s="71"/>
      <c r="E29" s="71"/>
      <c r="F29" s="124"/>
      <c r="G29" s="457"/>
      <c r="H29" s="477">
        <f>$K$21</f>
        <v>0</v>
      </c>
      <c r="I29" s="63">
        <v>82358.364618826745</v>
      </c>
      <c r="J29" s="64">
        <v>106638.06247876068</v>
      </c>
      <c r="K29" s="65">
        <v>130917.76033869467</v>
      </c>
      <c r="L29" s="66">
        <v>155197.45819862868</v>
      </c>
      <c r="M29" s="67">
        <v>179477.15605856266</v>
      </c>
      <c r="N29" s="68">
        <v>203756.85391849646</v>
      </c>
      <c r="O29" s="386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x14ac:dyDescent="0.25">
      <c r="A30" s="71"/>
      <c r="B30" s="167"/>
      <c r="C30" s="189"/>
      <c r="D30" s="71"/>
      <c r="E30" s="71"/>
      <c r="F30" s="124"/>
      <c r="G30" s="457"/>
      <c r="H30" s="478">
        <f>$L$21</f>
        <v>0.05</v>
      </c>
      <c r="I30" s="29">
        <v>69769.670567322843</v>
      </c>
      <c r="J30" s="31">
        <v>94049.368427256748</v>
      </c>
      <c r="K30" s="57">
        <v>118329.06628719077</v>
      </c>
      <c r="L30" s="33">
        <v>142608.76414712475</v>
      </c>
      <c r="M30" s="62">
        <v>166888.46200705873</v>
      </c>
      <c r="N30" s="62">
        <v>191168.15986699259</v>
      </c>
      <c r="O30" s="386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x14ac:dyDescent="0.25">
      <c r="A31" s="71"/>
      <c r="B31" s="167"/>
      <c r="C31" s="189"/>
      <c r="D31" s="71"/>
      <c r="E31" s="71"/>
      <c r="F31" s="124"/>
      <c r="G31" s="457"/>
      <c r="H31" s="475">
        <f>$M$21</f>
        <v>0.1</v>
      </c>
      <c r="I31" s="8">
        <v>57180.976515818926</v>
      </c>
      <c r="J31" s="30">
        <v>81460.674375752846</v>
      </c>
      <c r="K31" s="55">
        <v>105740.37223568685</v>
      </c>
      <c r="L31" s="32">
        <v>130020.07009562083</v>
      </c>
      <c r="M31" s="39">
        <v>154299.76795555479</v>
      </c>
      <c r="N31" s="39">
        <v>178579.46581548871</v>
      </c>
      <c r="O31" s="386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1:30" x14ac:dyDescent="0.25">
      <c r="A32" s="71"/>
      <c r="B32" s="167"/>
      <c r="C32" s="189"/>
      <c r="D32" s="71"/>
      <c r="E32" s="71"/>
      <c r="F32" s="124"/>
      <c r="G32" s="457"/>
      <c r="H32" s="475">
        <f>$N$21</f>
        <v>0.15</v>
      </c>
      <c r="I32" s="8">
        <v>44592.282464315082</v>
      </c>
      <c r="J32" s="30">
        <v>68871.980324248987</v>
      </c>
      <c r="K32" s="58">
        <v>93151.678184182965</v>
      </c>
      <c r="L32" s="32">
        <v>117431.37604411697</v>
      </c>
      <c r="M32" s="39">
        <v>141711.07390405098</v>
      </c>
      <c r="N32" s="39">
        <v>165990.77176398481</v>
      </c>
      <c r="O32" s="386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15" x14ac:dyDescent="0.25">
      <c r="A33" s="71"/>
      <c r="B33" s="167"/>
      <c r="C33" s="189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386"/>
    </row>
    <row r="34" spans="1:15" x14ac:dyDescent="0.25">
      <c r="A34" s="71"/>
      <c r="B34" s="167"/>
      <c r="C34" s="189"/>
      <c r="D34" s="71"/>
      <c r="E34" s="71"/>
      <c r="F34" s="463"/>
      <c r="G34" s="463"/>
      <c r="H34" s="463" t="s">
        <v>705</v>
      </c>
      <c r="I34" s="480"/>
      <c r="J34" s="480"/>
      <c r="K34" s="480"/>
      <c r="L34" s="480"/>
      <c r="M34" s="480"/>
      <c r="N34" s="480"/>
      <c r="O34" s="386"/>
    </row>
    <row r="35" spans="1:15" x14ac:dyDescent="0.25">
      <c r="A35" s="518" t="s">
        <v>591</v>
      </c>
      <c r="B35" s="167"/>
      <c r="C35" s="189"/>
      <c r="D35" s="71"/>
      <c r="E35" s="71"/>
      <c r="F35" s="71"/>
      <c r="G35" s="471" t="s">
        <v>707</v>
      </c>
      <c r="H35" s="479">
        <f ca="1">$D$14</f>
        <v>0.32991750836372369</v>
      </c>
      <c r="I35" s="481">
        <f>$I$20</f>
        <v>-0.1</v>
      </c>
      <c r="J35" s="484">
        <f>$J$20</f>
        <v>-0.05</v>
      </c>
      <c r="K35" s="489">
        <f>$K$20</f>
        <v>0</v>
      </c>
      <c r="L35" s="495">
        <f>$L$20</f>
        <v>0.05</v>
      </c>
      <c r="M35" s="481">
        <f>$M$20</f>
        <v>0.1</v>
      </c>
      <c r="N35" s="481">
        <f>$N$20</f>
        <v>0.15</v>
      </c>
      <c r="O35" s="386"/>
    </row>
    <row r="36" spans="1:15" x14ac:dyDescent="0.25">
      <c r="A36" s="71"/>
      <c r="B36" s="167"/>
      <c r="C36" s="189"/>
      <c r="D36" s="457"/>
      <c r="E36" s="457"/>
      <c r="F36" s="457"/>
      <c r="G36" s="472" t="s">
        <v>706</v>
      </c>
      <c r="H36" s="475">
        <f>$I$21</f>
        <v>-0.1</v>
      </c>
      <c r="I36" s="10">
        <f t="dataTable" ref="I36:N41" dt2D="1" dtr="1" r1="D6" r2="D7" ca="1"/>
        <v>0.3006913125514985</v>
      </c>
      <c r="J36" s="36">
        <v>0.33636681437492377</v>
      </c>
      <c r="K36" s="50">
        <v>0.37045779824256908</v>
      </c>
      <c r="L36" s="35">
        <v>0.40318420529365528</v>
      </c>
      <c r="M36" s="40">
        <v>0.43471942543983466</v>
      </c>
      <c r="N36" s="40">
        <v>0.46520285010337825</v>
      </c>
      <c r="O36" s="386"/>
    </row>
    <row r="37" spans="1:15" x14ac:dyDescent="0.25">
      <c r="A37" s="71"/>
      <c r="B37" s="167"/>
      <c r="C37" s="189"/>
      <c r="D37" s="71"/>
      <c r="E37" s="71"/>
      <c r="F37" s="124"/>
      <c r="G37" s="457"/>
      <c r="H37" s="476">
        <f>$J$21</f>
        <v>-0.05</v>
      </c>
      <c r="I37" s="12">
        <v>0.27942726016044617</v>
      </c>
      <c r="J37" s="46">
        <v>0.31564673781394958</v>
      </c>
      <c r="K37" s="51">
        <v>0.35017469525337219</v>
      </c>
      <c r="L37" s="48">
        <v>0.3832558333873749</v>
      </c>
      <c r="M37" s="41">
        <v>0.41508128046989445</v>
      </c>
      <c r="N37" s="41">
        <v>0.44580342173576359</v>
      </c>
      <c r="O37" s="386"/>
    </row>
    <row r="38" spans="1:15" x14ac:dyDescent="0.25">
      <c r="A38" s="71"/>
      <c r="B38" s="167"/>
      <c r="C38" s="189"/>
      <c r="D38" s="71"/>
      <c r="E38" s="71"/>
      <c r="F38" s="124"/>
      <c r="G38" s="457"/>
      <c r="H38" s="477">
        <f>$K$21</f>
        <v>0</v>
      </c>
      <c r="I38" s="43">
        <v>0.25808728337287901</v>
      </c>
      <c r="J38" s="47">
        <v>0.29490844607353228</v>
      </c>
      <c r="K38" s="52">
        <v>0.32991750836372369</v>
      </c>
      <c r="L38" s="49">
        <v>0.36338796019554143</v>
      </c>
      <c r="M38" s="44">
        <v>0.39553131461143498</v>
      </c>
      <c r="N38" s="45">
        <v>0.42651478648185737</v>
      </c>
      <c r="O38" s="386"/>
    </row>
    <row r="39" spans="1:15" x14ac:dyDescent="0.25">
      <c r="A39" s="71"/>
      <c r="B39" s="167"/>
      <c r="C39" s="189"/>
      <c r="D39" s="71"/>
      <c r="E39" s="71"/>
      <c r="F39" s="124"/>
      <c r="G39" s="457"/>
      <c r="H39" s="478">
        <f>$L$21</f>
        <v>0.05</v>
      </c>
      <c r="I39" s="34">
        <v>0.23663508296012878</v>
      </c>
      <c r="J39" s="37">
        <v>0.27412318587303164</v>
      </c>
      <c r="K39" s="53">
        <v>0.30966258645057676</v>
      </c>
      <c r="L39" s="38">
        <v>0.34356057047843935</v>
      </c>
      <c r="M39" s="42">
        <v>0.37605215907096867</v>
      </c>
      <c r="N39" s="42">
        <v>0.40732149481773372</v>
      </c>
      <c r="O39" s="386"/>
    </row>
    <row r="40" spans="1:15" x14ac:dyDescent="0.25">
      <c r="A40" s="71"/>
      <c r="B40" s="167"/>
      <c r="C40" s="189"/>
      <c r="D40" s="71"/>
      <c r="E40" s="71"/>
      <c r="F40" s="124"/>
      <c r="G40" s="457"/>
      <c r="H40" s="475">
        <f>$M$21</f>
        <v>0.1</v>
      </c>
      <c r="I40" s="10">
        <v>0.21503031849861146</v>
      </c>
      <c r="J40" s="36">
        <v>0.2532595694065094</v>
      </c>
      <c r="K40" s="50">
        <v>0.28938460946083067</v>
      </c>
      <c r="L40" s="35">
        <v>0.32375251650810244</v>
      </c>
      <c r="M40" s="40">
        <v>0.35662567019462599</v>
      </c>
      <c r="N40" s="40">
        <v>0.38820760846137992</v>
      </c>
      <c r="O40" s="386"/>
    </row>
    <row r="41" spans="1:15" x14ac:dyDescent="0.25">
      <c r="A41" s="71"/>
      <c r="B41" s="167"/>
      <c r="C41" s="189"/>
      <c r="D41" s="71"/>
      <c r="E41" s="71"/>
      <c r="F41" s="124"/>
      <c r="G41" s="457"/>
      <c r="H41" s="475">
        <f>$N$21</f>
        <v>0.15</v>
      </c>
      <c r="I41" s="10">
        <v>0.19322769045829774</v>
      </c>
      <c r="J41" s="36">
        <v>0.2322830975055695</v>
      </c>
      <c r="K41" s="54">
        <v>0.26905617117881775</v>
      </c>
      <c r="L41" s="35">
        <v>0.30394127964973461</v>
      </c>
      <c r="M41" s="40">
        <v>0.33723277449607847</v>
      </c>
      <c r="N41" s="40">
        <v>0.36915656924247742</v>
      </c>
      <c r="O41" s="386"/>
    </row>
    <row r="42" spans="1:15" x14ac:dyDescent="0.25">
      <c r="A42" s="71"/>
      <c r="B42" s="167"/>
      <c r="C42" s="189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386"/>
    </row>
    <row r="43" spans="1:15" x14ac:dyDescent="0.25">
      <c r="A43" s="71"/>
      <c r="B43" s="167"/>
      <c r="C43" s="189"/>
      <c r="D43" s="71"/>
      <c r="E43" s="71"/>
      <c r="F43" s="463"/>
      <c r="G43" s="463"/>
      <c r="H43" s="463" t="s">
        <v>705</v>
      </c>
      <c r="I43" s="480"/>
      <c r="J43" s="480"/>
      <c r="K43" s="480"/>
      <c r="L43" s="480"/>
      <c r="M43" s="480"/>
      <c r="N43" s="480"/>
      <c r="O43" s="386"/>
    </row>
    <row r="44" spans="1:15" x14ac:dyDescent="0.25">
      <c r="A44" s="518" t="s">
        <v>591</v>
      </c>
      <c r="B44" s="167"/>
      <c r="C44" s="189"/>
      <c r="D44" s="71"/>
      <c r="E44" s="71"/>
      <c r="F44" s="71"/>
      <c r="G44" s="471" t="s">
        <v>699</v>
      </c>
      <c r="H44" s="474">
        <f ca="1">$D$112</f>
        <v>350246.43353450083</v>
      </c>
      <c r="I44" s="481">
        <f>$I$20</f>
        <v>-0.1</v>
      </c>
      <c r="J44" s="484">
        <f>$J$20</f>
        <v>-0.05</v>
      </c>
      <c r="K44" s="489">
        <f>$K$20</f>
        <v>0</v>
      </c>
      <c r="L44" s="495">
        <f>$L$20</f>
        <v>0.05</v>
      </c>
      <c r="M44" s="481">
        <f>$M$20</f>
        <v>0.1</v>
      </c>
      <c r="N44" s="481">
        <f>$N$20</f>
        <v>0.15</v>
      </c>
      <c r="O44" s="386"/>
    </row>
    <row r="45" spans="1:15" x14ac:dyDescent="0.25">
      <c r="A45" s="71"/>
      <c r="B45" s="167"/>
      <c r="C45" s="189"/>
      <c r="D45" s="457"/>
      <c r="E45" s="457"/>
      <c r="F45" s="457"/>
      <c r="G45" s="472" t="s">
        <v>706</v>
      </c>
      <c r="H45" s="475">
        <v>-0.1</v>
      </c>
      <c r="I45" s="231">
        <v>296699.80143591005</v>
      </c>
      <c r="J45" s="485">
        <v>341597.07106901624</v>
      </c>
      <c r="K45" s="490">
        <v>386494.34070212243</v>
      </c>
      <c r="L45" s="496">
        <v>431391.61033522867</v>
      </c>
      <c r="M45" s="500">
        <v>476288.87996833492</v>
      </c>
      <c r="N45" s="500">
        <v>521186.14960144088</v>
      </c>
      <c r="O45" s="386"/>
    </row>
    <row r="46" spans="1:15" x14ac:dyDescent="0.25">
      <c r="A46" s="71"/>
      <c r="B46" s="167"/>
      <c r="C46" s="189"/>
      <c r="D46" s="71"/>
      <c r="E46" s="71"/>
      <c r="F46" s="124"/>
      <c r="G46" s="457"/>
      <c r="H46" s="476">
        <v>-0.05</v>
      </c>
      <c r="I46" s="389">
        <v>271770.63535479899</v>
      </c>
      <c r="J46" s="486">
        <v>316667.90498790523</v>
      </c>
      <c r="K46" s="491">
        <v>361565.17462101136</v>
      </c>
      <c r="L46" s="497">
        <v>406462.44425411761</v>
      </c>
      <c r="M46" s="501">
        <v>451359.7138872238</v>
      </c>
      <c r="N46" s="501">
        <v>496256.98352032981</v>
      </c>
      <c r="O46" s="386"/>
    </row>
    <row r="47" spans="1:15" x14ac:dyDescent="0.25">
      <c r="A47" s="71"/>
      <c r="B47" s="167"/>
      <c r="C47" s="189"/>
      <c r="D47" s="71"/>
      <c r="E47" s="71"/>
      <c r="F47" s="124"/>
      <c r="G47" s="457"/>
      <c r="H47" s="477">
        <v>0</v>
      </c>
      <c r="I47" s="482">
        <v>246841.46927368775</v>
      </c>
      <c r="J47" s="487">
        <v>291738.73890679399</v>
      </c>
      <c r="K47" s="492">
        <v>336636.00853990024</v>
      </c>
      <c r="L47" s="498">
        <v>381533.27817300649</v>
      </c>
      <c r="M47" s="502">
        <v>426430.54780611274</v>
      </c>
      <c r="N47" s="504">
        <v>471327.81743921881</v>
      </c>
      <c r="O47" s="386"/>
    </row>
    <row r="48" spans="1:15" x14ac:dyDescent="0.25">
      <c r="A48" s="71"/>
      <c r="B48" s="167"/>
      <c r="C48" s="189"/>
      <c r="D48" s="71"/>
      <c r="E48" s="71"/>
      <c r="F48" s="124"/>
      <c r="G48" s="457"/>
      <c r="H48" s="478">
        <v>0.05</v>
      </c>
      <c r="I48" s="483">
        <v>221912.3031925766</v>
      </c>
      <c r="J48" s="488">
        <v>266809.57282568282</v>
      </c>
      <c r="K48" s="493">
        <v>311706.84245878906</v>
      </c>
      <c r="L48" s="499">
        <v>356604.11209189531</v>
      </c>
      <c r="M48" s="503">
        <v>401501.3817250015</v>
      </c>
      <c r="N48" s="503">
        <v>446398.65135810757</v>
      </c>
      <c r="O48" s="386"/>
    </row>
    <row r="49" spans="1:15" x14ac:dyDescent="0.25">
      <c r="A49" s="71"/>
      <c r="B49" s="167"/>
      <c r="C49" s="189"/>
      <c r="D49" s="71"/>
      <c r="E49" s="71"/>
      <c r="F49" s="124"/>
      <c r="G49" s="457"/>
      <c r="H49" s="475">
        <v>0.1</v>
      </c>
      <c r="I49" s="231">
        <v>196983.13711146545</v>
      </c>
      <c r="J49" s="485">
        <v>241880.40674457166</v>
      </c>
      <c r="K49" s="490">
        <v>286777.67637767788</v>
      </c>
      <c r="L49" s="496">
        <v>331674.94601078413</v>
      </c>
      <c r="M49" s="500">
        <v>376572.21564389032</v>
      </c>
      <c r="N49" s="500">
        <v>421469.48527699633</v>
      </c>
      <c r="O49" s="386"/>
    </row>
    <row r="50" spans="1:15" x14ac:dyDescent="0.25">
      <c r="A50" s="71"/>
      <c r="B50" s="167"/>
      <c r="C50" s="189"/>
      <c r="D50" s="71"/>
      <c r="E50" s="71"/>
      <c r="F50" s="124"/>
      <c r="G50" s="457"/>
      <c r="H50" s="475">
        <v>0.15</v>
      </c>
      <c r="I50" s="231">
        <v>172053.97103035444</v>
      </c>
      <c r="J50" s="485">
        <v>216951.24066346069</v>
      </c>
      <c r="K50" s="494">
        <v>261848.51029656691</v>
      </c>
      <c r="L50" s="496">
        <v>306745.77992967312</v>
      </c>
      <c r="M50" s="500">
        <v>351643.04956277937</v>
      </c>
      <c r="N50" s="500">
        <v>396540.31919588533</v>
      </c>
      <c r="O50" s="386"/>
    </row>
    <row r="51" spans="1:15" x14ac:dyDescent="0.25">
      <c r="A51" s="71"/>
      <c r="B51" s="167"/>
      <c r="C51" s="189"/>
      <c r="D51" s="71"/>
      <c r="E51" s="71"/>
      <c r="F51" s="386"/>
      <c r="G51" s="386"/>
      <c r="H51" s="386"/>
      <c r="I51" s="386"/>
      <c r="J51" s="386"/>
      <c r="K51" s="386"/>
      <c r="L51" s="386"/>
      <c r="M51" s="386"/>
      <c r="N51" s="386"/>
      <c r="O51" s="386"/>
    </row>
    <row r="52" spans="1:15" x14ac:dyDescent="0.25">
      <c r="A52" s="71"/>
      <c r="B52" s="167"/>
      <c r="C52" s="189"/>
      <c r="D52" s="71"/>
      <c r="E52" s="71"/>
      <c r="F52" s="463"/>
      <c r="G52" s="463"/>
      <c r="H52" s="463" t="s">
        <v>705</v>
      </c>
      <c r="I52" s="480"/>
      <c r="J52" s="480"/>
      <c r="K52" s="480"/>
      <c r="L52" s="480"/>
      <c r="M52" s="480"/>
      <c r="N52" s="480"/>
      <c r="O52" s="386"/>
    </row>
    <row r="53" spans="1:15" x14ac:dyDescent="0.25">
      <c r="A53" s="518" t="s">
        <v>591</v>
      </c>
      <c r="B53" s="167"/>
      <c r="C53" s="189"/>
      <c r="D53" s="71"/>
      <c r="E53" s="71"/>
      <c r="F53" s="71"/>
      <c r="G53" s="471" t="s">
        <v>699</v>
      </c>
      <c r="H53" s="474">
        <f ca="1">$D$112</f>
        <v>350246.43353450083</v>
      </c>
      <c r="I53" s="481">
        <f>$I$20</f>
        <v>-0.1</v>
      </c>
      <c r="J53" s="484">
        <f>$J$20</f>
        <v>-0.05</v>
      </c>
      <c r="K53" s="489">
        <f>$K$20</f>
        <v>0</v>
      </c>
      <c r="L53" s="495">
        <f>$L$20</f>
        <v>0.05</v>
      </c>
      <c r="M53" s="481">
        <f>$M$20</f>
        <v>0.1</v>
      </c>
      <c r="N53" s="481">
        <f>$N$20</f>
        <v>0.15</v>
      </c>
      <c r="O53" s="386"/>
    </row>
    <row r="54" spans="1:15" x14ac:dyDescent="0.25">
      <c r="A54" s="71"/>
      <c r="B54" s="167"/>
      <c r="C54" s="189"/>
      <c r="D54" s="457"/>
      <c r="E54" s="457"/>
      <c r="F54" s="457"/>
      <c r="G54" s="472" t="s">
        <v>708</v>
      </c>
      <c r="H54" s="475">
        <f>$I$23</f>
        <v>0.08</v>
      </c>
      <c r="I54" s="8">
        <f t="dataTable" ref="I54:N59" dt2D="1" dtr="1" r1="D6" r2="D9" ca="1"/>
        <v>227107.95426828836</v>
      </c>
      <c r="J54" s="30">
        <v>271966.69390139461</v>
      </c>
      <c r="K54" s="55">
        <v>316825.43353450083</v>
      </c>
      <c r="L54" s="32">
        <v>361684.17316760711</v>
      </c>
      <c r="M54" s="39">
        <v>406542.91280071333</v>
      </c>
      <c r="N54" s="39">
        <v>451401.65243381943</v>
      </c>
      <c r="O54" s="386"/>
    </row>
    <row r="55" spans="1:15" x14ac:dyDescent="0.25">
      <c r="A55" s="71"/>
      <c r="B55" s="167"/>
      <c r="C55" s="189"/>
      <c r="D55" s="71"/>
      <c r="E55" s="71"/>
      <c r="F55" s="124"/>
      <c r="G55" s="457"/>
      <c r="H55" s="476">
        <f>$J$23</f>
        <v>0.1</v>
      </c>
      <c r="I55" s="15">
        <v>218752.70426828836</v>
      </c>
      <c r="J55" s="59">
        <v>263611.44390139461</v>
      </c>
      <c r="K55" s="56">
        <v>308470.18353450083</v>
      </c>
      <c r="L55" s="60">
        <v>353328.92316760711</v>
      </c>
      <c r="M55" s="61">
        <v>398187.66280071333</v>
      </c>
      <c r="N55" s="61">
        <v>443046.40243381943</v>
      </c>
      <c r="O55" s="386"/>
    </row>
    <row r="56" spans="1:15" x14ac:dyDescent="0.25">
      <c r="A56" s="71"/>
      <c r="B56" s="167"/>
      <c r="C56" s="189"/>
      <c r="D56" s="71"/>
      <c r="E56" s="71"/>
      <c r="F56" s="124"/>
      <c r="G56" s="457"/>
      <c r="H56" s="476">
        <f>$K$23</f>
        <v>0.12</v>
      </c>
      <c r="I56" s="63">
        <v>210397.45426828836</v>
      </c>
      <c r="J56" s="64">
        <v>255256.19390139461</v>
      </c>
      <c r="K56" s="65">
        <v>300114.93353450083</v>
      </c>
      <c r="L56" s="66">
        <v>344973.67316760711</v>
      </c>
      <c r="M56" s="67">
        <v>389832.41280071333</v>
      </c>
      <c r="N56" s="68">
        <v>434691.15243381943</v>
      </c>
      <c r="O56" s="386"/>
    </row>
    <row r="57" spans="1:15" x14ac:dyDescent="0.25">
      <c r="A57" s="71"/>
      <c r="B57" s="167"/>
      <c r="C57" s="189"/>
      <c r="D57" s="71"/>
      <c r="E57" s="71"/>
      <c r="F57" s="124"/>
      <c r="G57" s="457"/>
      <c r="H57" s="478">
        <f>$L$23</f>
        <v>0.14000000000000001</v>
      </c>
      <c r="I57" s="29">
        <v>202042.20426828836</v>
      </c>
      <c r="J57" s="31">
        <v>246900.94390139461</v>
      </c>
      <c r="K57" s="57">
        <v>291759.68353450083</v>
      </c>
      <c r="L57" s="33">
        <v>336618.42316760711</v>
      </c>
      <c r="M57" s="62">
        <v>381477.16280071333</v>
      </c>
      <c r="N57" s="62">
        <v>426335.90243381943</v>
      </c>
      <c r="O57" s="386"/>
    </row>
    <row r="58" spans="1:15" x14ac:dyDescent="0.25">
      <c r="A58" s="71"/>
      <c r="B58" s="167"/>
      <c r="C58" s="189"/>
      <c r="D58" s="71"/>
      <c r="E58" s="71"/>
      <c r="F58" s="124"/>
      <c r="G58" s="457"/>
      <c r="H58" s="475">
        <f>$M$23</f>
        <v>0.16</v>
      </c>
      <c r="I58" s="8">
        <v>193686.95426828836</v>
      </c>
      <c r="J58" s="30">
        <v>238545.69390139461</v>
      </c>
      <c r="K58" s="55">
        <v>283404.43353450083</v>
      </c>
      <c r="L58" s="32">
        <v>328263.17316760711</v>
      </c>
      <c r="M58" s="39">
        <v>373121.91280071333</v>
      </c>
      <c r="N58" s="39">
        <v>417980.65243381943</v>
      </c>
      <c r="O58" s="386"/>
    </row>
    <row r="59" spans="1:15" x14ac:dyDescent="0.25">
      <c r="A59" s="71"/>
      <c r="B59" s="167"/>
      <c r="C59" s="189"/>
      <c r="D59" s="71"/>
      <c r="E59" s="71"/>
      <c r="F59" s="124"/>
      <c r="G59" s="457"/>
      <c r="H59" s="475">
        <f>$N$23</f>
        <v>0.18</v>
      </c>
      <c r="I59" s="8">
        <v>185331.70426828836</v>
      </c>
      <c r="J59" s="30">
        <v>230190.44390139461</v>
      </c>
      <c r="K59" s="58">
        <v>275049.18353450083</v>
      </c>
      <c r="L59" s="32">
        <v>319907.92316760711</v>
      </c>
      <c r="M59" s="39">
        <v>364766.66280071333</v>
      </c>
      <c r="N59" s="39">
        <v>409625.40243381943</v>
      </c>
      <c r="O59" s="386"/>
    </row>
    <row r="60" spans="1:15" x14ac:dyDescent="0.25">
      <c r="A60" s="71"/>
      <c r="B60" s="167"/>
      <c r="C60" s="189"/>
      <c r="D60" s="71"/>
      <c r="E60" s="71"/>
      <c r="F60" s="386"/>
      <c r="G60" s="386"/>
      <c r="H60" s="386"/>
      <c r="I60" s="386"/>
      <c r="J60" s="386"/>
      <c r="K60" s="386"/>
      <c r="L60" s="386"/>
      <c r="M60" s="386"/>
      <c r="N60" s="386"/>
      <c r="O60" s="386"/>
    </row>
    <row r="61" spans="1:15" x14ac:dyDescent="0.25">
      <c r="A61" s="71"/>
      <c r="B61" s="167"/>
      <c r="C61" s="189"/>
      <c r="D61" s="71"/>
      <c r="E61" s="71"/>
      <c r="F61" s="463"/>
      <c r="G61" s="463"/>
      <c r="H61" s="463" t="s">
        <v>708</v>
      </c>
      <c r="I61" s="480"/>
      <c r="J61" s="480"/>
      <c r="K61" s="480"/>
      <c r="L61" s="480"/>
      <c r="M61" s="480"/>
      <c r="N61" s="480"/>
      <c r="O61" s="386"/>
    </row>
    <row r="62" spans="1:15" x14ac:dyDescent="0.25">
      <c r="A62" s="518" t="s">
        <v>591</v>
      </c>
      <c r="B62" s="167"/>
      <c r="C62" s="189"/>
      <c r="D62" s="71"/>
      <c r="E62" s="71"/>
      <c r="F62" s="71"/>
      <c r="G62" s="471" t="s">
        <v>699</v>
      </c>
      <c r="H62" s="474">
        <f ca="1">$D$112</f>
        <v>350246.43353450083</v>
      </c>
      <c r="I62" s="481">
        <f>$I$23</f>
        <v>0.08</v>
      </c>
      <c r="J62" s="481">
        <f>$J$23</f>
        <v>0.1</v>
      </c>
      <c r="K62" s="481">
        <f>$K$23</f>
        <v>0.12</v>
      </c>
      <c r="L62" s="481">
        <f>$L$23</f>
        <v>0.14000000000000001</v>
      </c>
      <c r="M62" s="481">
        <f>$M$23</f>
        <v>0.16</v>
      </c>
      <c r="N62" s="481">
        <f>$N$23</f>
        <v>0.18</v>
      </c>
      <c r="O62" s="386"/>
    </row>
    <row r="63" spans="1:15" x14ac:dyDescent="0.25">
      <c r="A63" s="71"/>
      <c r="B63" s="167"/>
      <c r="C63" s="189"/>
      <c r="D63" s="457"/>
      <c r="E63" s="457"/>
      <c r="F63" s="457"/>
      <c r="G63" s="472" t="s">
        <v>706</v>
      </c>
      <c r="H63" s="475">
        <v>-0.1</v>
      </c>
      <c r="I63" s="8">
        <f t="dataTable" ref="I63:N68" dt2D="1" dtr="1" r1="D9" r2="D7" ca="1"/>
        <v>366539.89944726299</v>
      </c>
      <c r="J63" s="30">
        <v>358184.64944726299</v>
      </c>
      <c r="K63" s="55">
        <v>349829.39944726299</v>
      </c>
      <c r="L63" s="32">
        <v>341474.14944726299</v>
      </c>
      <c r="M63" s="39">
        <v>333118.89944726299</v>
      </c>
      <c r="N63" s="39">
        <v>324763.64944726299</v>
      </c>
      <c r="O63" s="386"/>
    </row>
    <row r="64" spans="1:15" x14ac:dyDescent="0.25">
      <c r="A64" s="71"/>
      <c r="B64" s="167"/>
      <c r="C64" s="189"/>
      <c r="D64" s="71"/>
      <c r="E64" s="71"/>
      <c r="F64" s="124"/>
      <c r="G64" s="457"/>
      <c r="H64" s="476">
        <v>-0.05</v>
      </c>
      <c r="I64" s="15">
        <v>341682.66649088194</v>
      </c>
      <c r="J64" s="59">
        <v>333327.41649088194</v>
      </c>
      <c r="K64" s="56">
        <v>324972.16649088194</v>
      </c>
      <c r="L64" s="60">
        <v>316616.91649088194</v>
      </c>
      <c r="M64" s="61">
        <v>308261.66649088194</v>
      </c>
      <c r="N64" s="61">
        <v>299906.41649088194</v>
      </c>
      <c r="O64" s="386"/>
    </row>
    <row r="65" spans="1:23" x14ac:dyDescent="0.25">
      <c r="A65" s="71"/>
      <c r="B65" s="167"/>
      <c r="C65" s="189"/>
      <c r="D65" s="71"/>
      <c r="E65" s="71"/>
      <c r="F65" s="124"/>
      <c r="G65" s="457"/>
      <c r="H65" s="477">
        <v>0</v>
      </c>
      <c r="I65" s="63">
        <v>316825.43353450083</v>
      </c>
      <c r="J65" s="64">
        <v>308470.18353450083</v>
      </c>
      <c r="K65" s="65">
        <v>300114.93353450083</v>
      </c>
      <c r="L65" s="66">
        <v>291759.68353450083</v>
      </c>
      <c r="M65" s="67">
        <v>283404.43353450083</v>
      </c>
      <c r="N65" s="68">
        <v>275049.18353450083</v>
      </c>
      <c r="O65" s="386"/>
      <c r="P65" s="71"/>
      <c r="Q65" s="71"/>
      <c r="R65" s="71"/>
      <c r="S65" s="71"/>
      <c r="T65" s="71"/>
      <c r="U65" s="71"/>
      <c r="V65" s="71"/>
      <c r="W65" s="71"/>
    </row>
    <row r="66" spans="1:23" x14ac:dyDescent="0.25">
      <c r="A66" s="71"/>
      <c r="B66" s="167"/>
      <c r="C66" s="189"/>
      <c r="D66" s="71"/>
      <c r="E66" s="71"/>
      <c r="F66" s="124"/>
      <c r="G66" s="457"/>
      <c r="H66" s="478">
        <v>0.05</v>
      </c>
      <c r="I66" s="29">
        <v>291968.20057811972</v>
      </c>
      <c r="J66" s="31">
        <v>283612.95057811972</v>
      </c>
      <c r="K66" s="57">
        <v>275257.70057811972</v>
      </c>
      <c r="L66" s="33">
        <v>266902.45057811972</v>
      </c>
      <c r="M66" s="62">
        <v>258547.20057811969</v>
      </c>
      <c r="N66" s="62">
        <v>250191.95057811969</v>
      </c>
      <c r="O66" s="386"/>
      <c r="P66" s="71"/>
      <c r="Q66" s="71"/>
      <c r="R66" s="71"/>
      <c r="S66" s="71"/>
      <c r="T66" s="71"/>
      <c r="U66" s="71"/>
      <c r="V66" s="71"/>
      <c r="W66" s="71"/>
    </row>
    <row r="67" spans="1:23" x14ac:dyDescent="0.25">
      <c r="A67" s="71"/>
      <c r="B67" s="167"/>
      <c r="C67" s="189"/>
      <c r="D67" s="71"/>
      <c r="E67" s="71"/>
      <c r="F67" s="124"/>
      <c r="G67" s="457"/>
      <c r="H67" s="475">
        <v>0.1</v>
      </c>
      <c r="I67" s="8">
        <v>267110.96762173856</v>
      </c>
      <c r="J67" s="30">
        <v>258755.71762173856</v>
      </c>
      <c r="K67" s="55">
        <v>250400.46762173856</v>
      </c>
      <c r="L67" s="32">
        <v>242045.21762173856</v>
      </c>
      <c r="M67" s="39">
        <v>233689.96762173856</v>
      </c>
      <c r="N67" s="39">
        <v>225334.71762173856</v>
      </c>
      <c r="O67" s="386"/>
      <c r="P67" s="71"/>
      <c r="Q67" s="71"/>
      <c r="R67" s="71"/>
      <c r="S67" s="71"/>
      <c r="T67" s="71"/>
      <c r="U67" s="71"/>
      <c r="V67" s="71"/>
      <c r="W67" s="71"/>
    </row>
    <row r="68" spans="1:23" x14ac:dyDescent="0.25">
      <c r="A68" s="71"/>
      <c r="B68" s="167"/>
      <c r="C68" s="189"/>
      <c r="D68" s="71"/>
      <c r="E68" s="71"/>
      <c r="F68" s="124"/>
      <c r="G68" s="457"/>
      <c r="H68" s="475">
        <v>0.15</v>
      </c>
      <c r="I68" s="8">
        <v>242253.7346653576</v>
      </c>
      <c r="J68" s="30">
        <v>233898.4846653576</v>
      </c>
      <c r="K68" s="58">
        <v>225543.2346653576</v>
      </c>
      <c r="L68" s="32">
        <v>217187.9846653576</v>
      </c>
      <c r="M68" s="39">
        <v>208832.7346653576</v>
      </c>
      <c r="N68" s="39">
        <v>200477.4846653576</v>
      </c>
      <c r="O68" s="386"/>
      <c r="P68" s="71"/>
      <c r="Q68" s="71"/>
      <c r="R68" s="71"/>
      <c r="S68" s="71"/>
      <c r="T68" s="71"/>
      <c r="U68" s="71"/>
      <c r="V68" s="71"/>
      <c r="W68" s="71"/>
    </row>
    <row r="69" spans="1:23" x14ac:dyDescent="0.25">
      <c r="A69" s="71"/>
      <c r="B69" s="167"/>
      <c r="C69" s="189"/>
      <c r="D69" s="71"/>
      <c r="E69" s="71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71"/>
      <c r="Q69" s="71"/>
      <c r="R69" s="71"/>
      <c r="S69" s="71"/>
      <c r="T69" s="71"/>
      <c r="U69" s="71"/>
      <c r="V69" s="71"/>
      <c r="W69" s="71"/>
    </row>
    <row r="70" spans="1:23" ht="15.75" thickBot="1" x14ac:dyDescent="0.3">
      <c r="A70" s="413"/>
      <c r="B70" s="525"/>
      <c r="C70" s="538"/>
      <c r="D70" s="413"/>
      <c r="E70" s="71"/>
      <c r="F70" s="464"/>
      <c r="G70" s="464"/>
      <c r="H70" s="464"/>
      <c r="I70" s="464"/>
      <c r="J70" s="464"/>
      <c r="K70" s="464"/>
      <c r="L70" s="464"/>
      <c r="M70" s="464"/>
      <c r="N70" s="464"/>
      <c r="O70" s="464"/>
      <c r="P70" s="71"/>
      <c r="Q70" s="71"/>
      <c r="R70" s="71"/>
      <c r="S70" s="71"/>
      <c r="T70" s="71"/>
      <c r="U70" s="71"/>
      <c r="V70" s="71"/>
      <c r="W70" s="71"/>
    </row>
    <row r="71" spans="1:23" x14ac:dyDescent="0.25">
      <c r="A71" s="71"/>
      <c r="B71" s="167"/>
      <c r="C71" s="189"/>
      <c r="D71" s="71"/>
      <c r="E71" s="71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71"/>
      <c r="Q71" s="71"/>
      <c r="R71" s="71"/>
      <c r="S71" s="71"/>
      <c r="T71" s="71"/>
      <c r="U71" s="71"/>
      <c r="V71" s="71"/>
      <c r="W71" s="71"/>
    </row>
    <row r="72" spans="1:23" x14ac:dyDescent="0.25">
      <c r="A72" s="71"/>
      <c r="B72" s="167"/>
      <c r="C72" s="189"/>
      <c r="D72" s="71"/>
      <c r="E72" s="71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71"/>
      <c r="Q72" s="71"/>
      <c r="R72" s="71"/>
      <c r="S72" s="71"/>
      <c r="T72" s="71"/>
      <c r="U72" s="71"/>
      <c r="V72" s="71"/>
      <c r="W72" s="71"/>
    </row>
    <row r="73" spans="1:23" x14ac:dyDescent="0.25">
      <c r="A73" s="71"/>
      <c r="B73" s="167"/>
      <c r="C73" s="189"/>
      <c r="D73" s="71"/>
      <c r="E73" s="71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71"/>
      <c r="Q73" s="71"/>
      <c r="R73" s="71"/>
      <c r="S73" s="71"/>
      <c r="T73" s="71"/>
      <c r="U73" s="71"/>
      <c r="V73" s="71"/>
      <c r="W73" s="71"/>
    </row>
    <row r="74" spans="1:23" x14ac:dyDescent="0.25">
      <c r="A74" s="71"/>
      <c r="B74" s="167"/>
      <c r="C74" s="189"/>
      <c r="D74" s="71"/>
      <c r="E74" s="71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71"/>
      <c r="Q74" s="71"/>
      <c r="R74" s="71"/>
      <c r="S74" s="71"/>
      <c r="T74" s="71"/>
      <c r="U74" s="71"/>
      <c r="V74" s="71"/>
      <c r="W74" s="71"/>
    </row>
    <row r="75" spans="1:23" x14ac:dyDescent="0.25">
      <c r="A75" s="71"/>
      <c r="B75" s="167"/>
      <c r="C75" s="189"/>
      <c r="D75" s="71"/>
      <c r="E75" s="71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71"/>
      <c r="Q75" s="71"/>
      <c r="R75" s="71"/>
      <c r="S75" s="71"/>
      <c r="T75" s="71"/>
      <c r="U75" s="71"/>
      <c r="V75" s="71"/>
      <c r="W75" s="71"/>
    </row>
    <row r="76" spans="1:23" ht="15.75" x14ac:dyDescent="0.25">
      <c r="A76" s="519" t="s">
        <v>709</v>
      </c>
      <c r="B76" s="526"/>
      <c r="C76" s="539"/>
      <c r="D76" s="465"/>
      <c r="E76" s="71"/>
      <c r="F76" s="465"/>
      <c r="G76" s="465"/>
      <c r="H76" s="465"/>
      <c r="I76" s="465"/>
      <c r="J76" s="465"/>
      <c r="K76" s="465"/>
      <c r="L76" s="465"/>
      <c r="M76" s="465"/>
      <c r="N76" s="465"/>
      <c r="O76" s="465"/>
      <c r="P76" s="71"/>
      <c r="Q76" s="71"/>
      <c r="R76" s="71"/>
      <c r="S76" s="71"/>
      <c r="T76" s="71"/>
      <c r="U76" s="71"/>
      <c r="V76" s="71"/>
      <c r="W76" s="71"/>
    </row>
    <row r="77" spans="1:23" x14ac:dyDescent="0.25">
      <c r="A77" s="71"/>
      <c r="B77" s="167"/>
      <c r="C77" s="404"/>
      <c r="D77" s="124"/>
      <c r="E77" s="71"/>
      <c r="F77" s="466" t="str">
        <f t="shared" ref="F77:O77" ca="1" si="3">IF(F177&lt;0,"Внимание!","Верно")</f>
        <v>Верно</v>
      </c>
      <c r="G77" s="466" t="str">
        <f t="shared" ca="1" si="3"/>
        <v>Верно</v>
      </c>
      <c r="H77" s="466" t="str">
        <f t="shared" ca="1" si="3"/>
        <v>Верно</v>
      </c>
      <c r="I77" s="466" t="str">
        <f t="shared" ca="1" si="3"/>
        <v>Верно</v>
      </c>
      <c r="J77" s="466" t="str">
        <f t="shared" ca="1" si="3"/>
        <v>Верно</v>
      </c>
      <c r="K77" s="466" t="str">
        <f t="shared" ca="1" si="3"/>
        <v>Верно</v>
      </c>
      <c r="L77" s="466" t="str">
        <f t="shared" ca="1" si="3"/>
        <v>Верно</v>
      </c>
      <c r="M77" s="466" t="str">
        <f t="shared" ca="1" si="3"/>
        <v>Верно</v>
      </c>
      <c r="N77" s="466" t="str">
        <f t="shared" ca="1" si="3"/>
        <v>Верно</v>
      </c>
      <c r="O77" s="466" t="str">
        <f t="shared" ca="1" si="3"/>
        <v>Верно</v>
      </c>
      <c r="P77" s="71"/>
      <c r="Q77" s="71"/>
      <c r="R77" s="71"/>
      <c r="S77" s="71"/>
      <c r="T77" s="71"/>
      <c r="U77" s="71"/>
      <c r="V77" s="71"/>
      <c r="W77" s="71"/>
    </row>
    <row r="78" spans="1:23" ht="18.75" x14ac:dyDescent="0.25">
      <c r="A78" s="520" t="s">
        <v>900</v>
      </c>
      <c r="B78" s="167"/>
      <c r="C78" s="404"/>
      <c r="D78" s="124"/>
      <c r="E78" s="71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71"/>
      <c r="Q78" s="71"/>
      <c r="R78" s="71"/>
      <c r="S78" s="71"/>
      <c r="T78" s="71"/>
      <c r="U78" s="71"/>
      <c r="V78" s="71"/>
      <c r="W78" s="71"/>
    </row>
    <row r="79" spans="1:23" s="16" customFormat="1" x14ac:dyDescent="0.25">
      <c r="A79" s="521"/>
      <c r="B79" s="527" t="s">
        <v>176</v>
      </c>
      <c r="C79" s="540"/>
      <c r="D79" s="521"/>
      <c r="E79" s="458"/>
      <c r="F79" s="467">
        <v>46022</v>
      </c>
      <c r="G79" s="467">
        <v>46387</v>
      </c>
      <c r="H79" s="467">
        <v>46752</v>
      </c>
      <c r="I79" s="467">
        <v>47118</v>
      </c>
      <c r="J79" s="467">
        <v>47483</v>
      </c>
      <c r="K79" s="467">
        <v>47848</v>
      </c>
      <c r="L79" s="467">
        <v>48213</v>
      </c>
      <c r="M79" s="467">
        <v>48579</v>
      </c>
      <c r="N79" s="467">
        <v>48944</v>
      </c>
      <c r="O79" s="467">
        <v>49309</v>
      </c>
      <c r="P79" s="458"/>
      <c r="Q79" s="458"/>
      <c r="R79" s="458"/>
      <c r="S79" s="458"/>
      <c r="T79" s="458"/>
      <c r="U79" s="458"/>
      <c r="V79" s="458"/>
      <c r="W79" s="458"/>
    </row>
    <row r="80" spans="1:23" ht="30" x14ac:dyDescent="0.25">
      <c r="A80" s="226" t="s">
        <v>349</v>
      </c>
      <c r="B80" s="91" t="s">
        <v>911</v>
      </c>
      <c r="C80" s="270" t="s">
        <v>19</v>
      </c>
      <c r="D80" s="431">
        <f ca="1">SUM(F80:O80)</f>
        <v>408745.67162973888</v>
      </c>
      <c r="E80" s="71"/>
      <c r="F80" s="250">
        <f t="shared" ref="F80:O80" ca="1" si="4">F146</f>
        <v>-8088.8023999999996</v>
      </c>
      <c r="G80" s="250">
        <f t="shared" ca="1" si="4"/>
        <v>-13940.552057599998</v>
      </c>
      <c r="H80" s="250">
        <f t="shared" ca="1" si="4"/>
        <v>-14279.467301639401</v>
      </c>
      <c r="I80" s="250">
        <f t="shared" ca="1" si="4"/>
        <v>50982.561598184213</v>
      </c>
      <c r="J80" s="250">
        <f t="shared" ca="1" si="4"/>
        <v>55280.755040484219</v>
      </c>
      <c r="K80" s="250">
        <f t="shared" ca="1" si="4"/>
        <v>59637.838187022237</v>
      </c>
      <c r="L80" s="250">
        <f t="shared" ca="1" si="4"/>
        <v>64250.377941742932</v>
      </c>
      <c r="M80" s="250">
        <f t="shared" ca="1" si="4"/>
        <v>69080.581371359804</v>
      </c>
      <c r="N80" s="250">
        <f t="shared" ca="1" si="4"/>
        <v>70471.571368738878</v>
      </c>
      <c r="O80" s="250">
        <f t="shared" ca="1" si="4"/>
        <v>75350.807881446002</v>
      </c>
      <c r="P80" s="71"/>
      <c r="Q80" s="458"/>
      <c r="R80" s="458"/>
      <c r="S80" s="458"/>
      <c r="T80" s="458"/>
      <c r="U80" s="458"/>
      <c r="V80" s="458"/>
      <c r="W80" s="458"/>
    </row>
    <row r="81" spans="1:43" ht="30" x14ac:dyDescent="0.25">
      <c r="A81" s="226" t="s">
        <v>349</v>
      </c>
      <c r="B81" s="91" t="s">
        <v>912</v>
      </c>
      <c r="C81" s="270" t="s">
        <v>19</v>
      </c>
      <c r="D81" s="431">
        <f>SUM(F81:O81)</f>
        <v>-75000</v>
      </c>
      <c r="E81" s="71"/>
      <c r="F81" s="250">
        <f t="shared" ref="F81:O81" si="5">F157</f>
        <v>-18333.333333333332</v>
      </c>
      <c r="G81" s="250">
        <f t="shared" si="5"/>
        <v>-56666.666666666664</v>
      </c>
      <c r="H81" s="250">
        <f t="shared" si="5"/>
        <v>0</v>
      </c>
      <c r="I81" s="250">
        <f t="shared" si="5"/>
        <v>0</v>
      </c>
      <c r="J81" s="250">
        <f t="shared" si="5"/>
        <v>0</v>
      </c>
      <c r="K81" s="250">
        <f t="shared" si="5"/>
        <v>0</v>
      </c>
      <c r="L81" s="250">
        <f t="shared" si="5"/>
        <v>0</v>
      </c>
      <c r="M81" s="250">
        <f t="shared" si="5"/>
        <v>0</v>
      </c>
      <c r="N81" s="250">
        <f t="shared" si="5"/>
        <v>0</v>
      </c>
      <c r="O81" s="250">
        <f t="shared" si="5"/>
        <v>0</v>
      </c>
      <c r="P81" s="71"/>
      <c r="Q81" s="458"/>
      <c r="R81" s="458"/>
      <c r="S81" s="458"/>
      <c r="T81" s="458"/>
      <c r="U81" s="458"/>
      <c r="V81" s="458"/>
      <c r="W81" s="458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</row>
    <row r="82" spans="1:43" ht="28.5" x14ac:dyDescent="0.25">
      <c r="A82" s="149"/>
      <c r="B82" s="398" t="s">
        <v>887</v>
      </c>
      <c r="C82" s="270" t="s">
        <v>19</v>
      </c>
      <c r="D82" s="274">
        <f ca="1">SUM(D80:D81)</f>
        <v>333745.67162973888</v>
      </c>
      <c r="E82" s="71"/>
      <c r="F82" s="274">
        <f ca="1">SUM(F80:F81)</f>
        <v>-26422.135733333333</v>
      </c>
      <c r="G82" s="274">
        <f t="shared" ref="G82:O82" ca="1" si="6">SUM(G80:G81)</f>
        <v>-70607.218724266655</v>
      </c>
      <c r="H82" s="274">
        <f t="shared" ca="1" si="6"/>
        <v>-14279.467301639401</v>
      </c>
      <c r="I82" s="274">
        <f t="shared" ca="1" si="6"/>
        <v>50982.561598184213</v>
      </c>
      <c r="J82" s="274">
        <f t="shared" ca="1" si="6"/>
        <v>55280.755040484219</v>
      </c>
      <c r="K82" s="274">
        <f t="shared" ca="1" si="6"/>
        <v>59637.838187022237</v>
      </c>
      <c r="L82" s="274">
        <f t="shared" ca="1" si="6"/>
        <v>64250.377941742932</v>
      </c>
      <c r="M82" s="274">
        <f t="shared" ca="1" si="6"/>
        <v>69080.581371359804</v>
      </c>
      <c r="N82" s="274">
        <f t="shared" ca="1" si="6"/>
        <v>70471.571368738878</v>
      </c>
      <c r="O82" s="274">
        <f t="shared" ca="1" si="6"/>
        <v>75350.807881446002</v>
      </c>
      <c r="P82" s="71"/>
      <c r="Q82" s="458"/>
      <c r="R82" s="458"/>
      <c r="S82" s="458"/>
      <c r="T82" s="458"/>
      <c r="U82" s="458"/>
      <c r="V82" s="458"/>
      <c r="W82" s="458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</row>
    <row r="83" spans="1:43" ht="30" x14ac:dyDescent="0.25">
      <c r="A83" s="149"/>
      <c r="B83" s="211" t="s">
        <v>888</v>
      </c>
      <c r="C83" s="197"/>
      <c r="D83" s="149"/>
      <c r="E83" s="71"/>
      <c r="F83" s="250">
        <f ca="1">F82</f>
        <v>-26422.135733333333</v>
      </c>
      <c r="G83" s="250">
        <f ca="1">F83+G82</f>
        <v>-97029.354457599984</v>
      </c>
      <c r="H83" s="250">
        <f t="shared" ref="H83:O83" ca="1" si="7">G83+H82</f>
        <v>-111308.82175923939</v>
      </c>
      <c r="I83" s="250">
        <f t="shared" ca="1" si="7"/>
        <v>-60326.260161055179</v>
      </c>
      <c r="J83" s="250">
        <f t="shared" ca="1" si="7"/>
        <v>-5045.5051205709606</v>
      </c>
      <c r="K83" s="250">
        <f t="shared" ca="1" si="7"/>
        <v>54592.333066451276</v>
      </c>
      <c r="L83" s="250">
        <f t="shared" ca="1" si="7"/>
        <v>118842.71100819421</v>
      </c>
      <c r="M83" s="250">
        <f t="shared" ca="1" si="7"/>
        <v>187923.29237955401</v>
      </c>
      <c r="N83" s="250">
        <f t="shared" ca="1" si="7"/>
        <v>258394.8637482929</v>
      </c>
      <c r="O83" s="250">
        <f t="shared" ca="1" si="7"/>
        <v>333745.67162973888</v>
      </c>
      <c r="P83" s="71"/>
      <c r="Q83" s="458"/>
      <c r="R83" s="458"/>
      <c r="S83" s="458"/>
      <c r="T83" s="458"/>
      <c r="U83" s="458"/>
      <c r="V83" s="458"/>
      <c r="W83" s="458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</row>
    <row r="84" spans="1:43" x14ac:dyDescent="0.25">
      <c r="A84" s="71"/>
      <c r="B84" s="167"/>
      <c r="C84" s="404"/>
      <c r="D84" s="124"/>
      <c r="E84" s="71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</row>
    <row r="85" spans="1:43" ht="37.9" customHeight="1" x14ac:dyDescent="0.25">
      <c r="A85" s="520" t="s">
        <v>624</v>
      </c>
      <c r="B85" s="167"/>
      <c r="C85" s="404"/>
      <c r="D85" s="124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</row>
    <row r="86" spans="1:43" x14ac:dyDescent="0.25">
      <c r="A86" s="71" t="str">
        <f>Паспорт_ФМ_резидент!$B$7</f>
        <v>Название инвест. проект 01</v>
      </c>
      <c r="B86" s="167"/>
      <c r="C86" s="404"/>
      <c r="D86" s="124"/>
      <c r="E86" s="71"/>
      <c r="F86" s="384">
        <v>1</v>
      </c>
      <c r="G86" s="384">
        <v>2</v>
      </c>
      <c r="H86" s="384">
        <v>3</v>
      </c>
      <c r="I86" s="384">
        <v>4</v>
      </c>
      <c r="J86" s="384">
        <v>5</v>
      </c>
      <c r="K86" s="384">
        <v>6</v>
      </c>
      <c r="L86" s="384">
        <v>7</v>
      </c>
      <c r="M86" s="384">
        <v>8</v>
      </c>
      <c r="N86" s="384">
        <v>9</v>
      </c>
      <c r="O86" s="384">
        <v>10</v>
      </c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</row>
    <row r="87" spans="1:43" s="18" customFormat="1" ht="28.5" x14ac:dyDescent="0.25">
      <c r="A87" s="127" t="s">
        <v>624</v>
      </c>
      <c r="B87" s="236" t="s">
        <v>3</v>
      </c>
      <c r="C87" s="127" t="s">
        <v>12</v>
      </c>
      <c r="D87" s="199" t="str">
        <f>CONCATENATE("Итого ",F87,"-",O87)</f>
        <v>Итого 2025-2034</v>
      </c>
      <c r="E87" s="155"/>
      <c r="F87" s="127">
        <f>YEAR(Паспорт_ФМ_резидент!C36)</f>
        <v>2025</v>
      </c>
      <c r="G87" s="127">
        <f t="shared" ref="G87:O87" si="8">F87+1</f>
        <v>2026</v>
      </c>
      <c r="H87" s="127">
        <f t="shared" si="8"/>
        <v>2027</v>
      </c>
      <c r="I87" s="127">
        <f t="shared" si="8"/>
        <v>2028</v>
      </c>
      <c r="J87" s="127">
        <f t="shared" si="8"/>
        <v>2029</v>
      </c>
      <c r="K87" s="127">
        <f t="shared" si="8"/>
        <v>2030</v>
      </c>
      <c r="L87" s="127">
        <f t="shared" si="8"/>
        <v>2031</v>
      </c>
      <c r="M87" s="127">
        <f t="shared" si="8"/>
        <v>2032</v>
      </c>
      <c r="N87" s="127">
        <f t="shared" si="8"/>
        <v>2033</v>
      </c>
      <c r="O87" s="127">
        <f t="shared" si="8"/>
        <v>2034</v>
      </c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</row>
    <row r="88" spans="1:43" ht="8.1" customHeight="1" x14ac:dyDescent="0.25">
      <c r="A88" s="128"/>
      <c r="B88" s="264"/>
      <c r="C88" s="128"/>
      <c r="D88" s="128"/>
      <c r="E88" s="71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71"/>
      <c r="Q88" s="128"/>
      <c r="R88" s="71"/>
      <c r="S88" s="71"/>
      <c r="T88" s="71"/>
      <c r="U88" s="71"/>
      <c r="V88" s="71"/>
      <c r="W88" s="71"/>
      <c r="X88" s="71"/>
      <c r="Y88" s="71"/>
      <c r="Z88" s="71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</row>
    <row r="89" spans="1:43" x14ac:dyDescent="0.25">
      <c r="A89" s="226" t="str" cm="1">
        <f t="array" aca="1" ref="A89" ca="1">HYPERLINK(CELL("адрес",Выручка!A8),"источник")</f>
        <v>источник</v>
      </c>
      <c r="B89" s="394" t="s">
        <v>459</v>
      </c>
      <c r="C89" s="405" t="s">
        <v>19</v>
      </c>
      <c r="D89" s="385">
        <f>SUM(F89:O89)</f>
        <v>929773.54922430473</v>
      </c>
      <c r="E89" s="71"/>
      <c r="F89" s="385">
        <f>Выручка!F8*(1+$D$6)</f>
        <v>0</v>
      </c>
      <c r="G89" s="385">
        <f>Выручка!G8*(1+$D$6)</f>
        <v>0</v>
      </c>
      <c r="H89" s="385">
        <f>Выручка!H8*(1+$D$6)</f>
        <v>38530</v>
      </c>
      <c r="I89" s="385">
        <f>Выручка!I8*(1+$D$6)</f>
        <v>112840</v>
      </c>
      <c r="J89" s="385">
        <f>Выручка!J8*(1+$D$6)</f>
        <v>117353.60000000002</v>
      </c>
      <c r="K89" s="385">
        <f>Выручка!K8*(1+$D$6)</f>
        <v>122047.74400000002</v>
      </c>
      <c r="L89" s="385">
        <f>Выручка!L8*(1+$D$6)</f>
        <v>126929.65376</v>
      </c>
      <c r="M89" s="385">
        <f>Выручка!M8*(1+$D$6)</f>
        <v>132006.83991040001</v>
      </c>
      <c r="N89" s="385">
        <f>Выручка!N8*(1+$D$6)</f>
        <v>137287.11350681601</v>
      </c>
      <c r="O89" s="385">
        <f>Выручка!O8*(1+$D$6)</f>
        <v>142778.59804708866</v>
      </c>
      <c r="P89" s="71"/>
      <c r="Q89" s="165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</row>
    <row r="90" spans="1:43" ht="28.5" x14ac:dyDescent="0.25">
      <c r="A90" s="71"/>
      <c r="B90" s="394" t="s">
        <v>104</v>
      </c>
      <c r="C90" s="405" t="s">
        <v>19</v>
      </c>
      <c r="D90" s="385">
        <f>SUM(D91:D95)</f>
        <v>-420413.57812217117</v>
      </c>
      <c r="E90" s="71"/>
      <c r="F90" s="385">
        <f t="shared" ref="F90:O90" si="9">SUM(F91:F95)</f>
        <v>-4985</v>
      </c>
      <c r="G90" s="385">
        <f t="shared" si="9"/>
        <v>-5181.8</v>
      </c>
      <c r="H90" s="385">
        <f t="shared" si="9"/>
        <v>-45295.958025390479</v>
      </c>
      <c r="I90" s="385">
        <f t="shared" si="9"/>
        <v>-54173.848677968868</v>
      </c>
      <c r="J90" s="385">
        <f t="shared" si="9"/>
        <v>-54605.547960975229</v>
      </c>
      <c r="K90" s="385">
        <f t="shared" si="9"/>
        <v>-51506.329457799889</v>
      </c>
      <c r="L90" s="385">
        <f t="shared" si="9"/>
        <v>-49188.145301752207</v>
      </c>
      <c r="M90" s="385">
        <f t="shared" si="9"/>
        <v>-50479.871174620544</v>
      </c>
      <c r="N90" s="385">
        <f t="shared" si="9"/>
        <v>-51811.801483723386</v>
      </c>
      <c r="O90" s="385">
        <f t="shared" si="9"/>
        <v>-53185.276039940523</v>
      </c>
      <c r="P90" s="71"/>
      <c r="Q90" s="165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</row>
    <row r="91" spans="1:43" ht="30" x14ac:dyDescent="0.25">
      <c r="A91" s="324" t="str" cm="1">
        <f t="array" aca="1" ref="A91" ca="1">HYPERLINK(CELL("адрес",Себестоимость!A7),"источник")</f>
        <v>источник</v>
      </c>
      <c r="B91" s="528" t="s">
        <v>251</v>
      </c>
      <c r="C91" s="405" t="s">
        <v>19</v>
      </c>
      <c r="D91" s="409">
        <f>SUM(F91:O91)</f>
        <v>-40828.286048632843</v>
      </c>
      <c r="E91" s="71"/>
      <c r="F91" s="386">
        <f>-Себестоимость!F7*(1+$D$7)</f>
        <v>0</v>
      </c>
      <c r="G91" s="386">
        <f>-Себестоимость!G7*(1+$D$7)</f>
        <v>0</v>
      </c>
      <c r="H91" s="386">
        <f>-Себестоимость!H7*(1+$D$7)</f>
        <v>-1400</v>
      </c>
      <c r="I91" s="386">
        <f>-Себестоимость!I7*(1+$D$7)</f>
        <v>-4992.0000000000009</v>
      </c>
      <c r="J91" s="386">
        <f>-Себестоимость!J7*(1+$D$7)</f>
        <v>-5191.6800000000012</v>
      </c>
      <c r="K91" s="386">
        <f>-Себестоимость!K7*(1+$D$7)</f>
        <v>-5399.347200000002</v>
      </c>
      <c r="L91" s="386">
        <f>-Себестоимость!L7*(1+$D$7)</f>
        <v>-5615.3210880000015</v>
      </c>
      <c r="M91" s="386">
        <f>-Себестоимость!M7*(1+$D$7)</f>
        <v>-5839.9339315200014</v>
      </c>
      <c r="N91" s="386">
        <f>-Себестоимость!N7*(1+$D$7)</f>
        <v>-6073.5312887808013</v>
      </c>
      <c r="O91" s="386">
        <f>-Себестоимость!O7*(1+$D$7)</f>
        <v>-6316.4725403320344</v>
      </c>
      <c r="P91" s="71"/>
      <c r="Q91" s="165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</row>
    <row r="92" spans="1:43" x14ac:dyDescent="0.25">
      <c r="A92" s="226" t="str" cm="1">
        <f t="array" aca="1" ref="A92" ca="1">HYPERLINK(CELL("адрес",Ресурсы!A5),"источник")</f>
        <v>источник</v>
      </c>
      <c r="B92" s="528" t="s">
        <v>262</v>
      </c>
      <c r="C92" s="405" t="s">
        <v>19</v>
      </c>
      <c r="D92" s="409">
        <f>SUM(F92:O92)</f>
        <v>-127739.5685858925</v>
      </c>
      <c r="E92" s="71"/>
      <c r="F92" s="386">
        <f>-Ресурсы!F5*(1+$D$7)</f>
        <v>-4685</v>
      </c>
      <c r="G92" s="386">
        <f>-Ресурсы!G5*(1+$D$7)</f>
        <v>-4881.8</v>
      </c>
      <c r="H92" s="386">
        <f>-Ресурсы!H5*(1+$D$7)</f>
        <v>-9457.026249999999</v>
      </c>
      <c r="I92" s="386">
        <f>-Ресурсы!I5*(1+$D$7)</f>
        <v>-14158.022887499999</v>
      </c>
      <c r="J92" s="386">
        <f>-Ресурсы!J5*(1+$D$7)</f>
        <v>-14623.022683687499</v>
      </c>
      <c r="K92" s="386">
        <f>-Ресурсы!K5*(1+$D$7)</f>
        <v>-15104.089443739686</v>
      </c>
      <c r="L92" s="386">
        <f>-Ресурсы!L5*(1+$D$7)</f>
        <v>-15530.835519859778</v>
      </c>
      <c r="M92" s="386">
        <f>-Ресурсы!M5*(1+$D$7)</f>
        <v>-15971.99017650024</v>
      </c>
      <c r="N92" s="386">
        <f>-Ресурсы!N5*(1+$D$7)</f>
        <v>-16428.089837944004</v>
      </c>
      <c r="O92" s="386">
        <f>-Ресурсы!O5*(1+$D$7)</f>
        <v>-16899.691786661278</v>
      </c>
      <c r="P92" s="71"/>
      <c r="Q92" s="165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</row>
    <row r="93" spans="1:43" ht="30" x14ac:dyDescent="0.25">
      <c r="A93" s="226" t="str" cm="1">
        <f t="array" aca="1" ref="A93" ca="1">HYPERLINK(CELL("адрес",Персонал!A45),"источник")</f>
        <v>источник</v>
      </c>
      <c r="B93" s="528" t="s">
        <v>480</v>
      </c>
      <c r="C93" s="270" t="s">
        <v>19</v>
      </c>
      <c r="D93" s="409">
        <f>SUM(F93:O93)</f>
        <v>-190346.48539240772</v>
      </c>
      <c r="E93" s="71"/>
      <c r="F93" s="135">
        <f>-Персонал!F45*(1+$D$7)</f>
        <v>0</v>
      </c>
      <c r="G93" s="135">
        <f>-Персонал!G45*(1+$D$7)</f>
        <v>0</v>
      </c>
      <c r="H93" s="135">
        <f>-Персонал!H45*(1+$D$7)</f>
        <v>-21662.741299200003</v>
      </c>
      <c r="I93" s="135">
        <f>-Персонал!I45*(1+$D$7)</f>
        <v>-22247.635314278399</v>
      </c>
      <c r="J93" s="135">
        <f>-Персонал!J45*(1+$D$7)</f>
        <v>-22848.321467763915</v>
      </c>
      <c r="K93" s="135">
        <f>-Персонал!K45*(1+$D$7)</f>
        <v>-23465.226147393536</v>
      </c>
      <c r="L93" s="135">
        <f>-Персонал!L45*(1+$D$7)</f>
        <v>-24075.322027225768</v>
      </c>
      <c r="M93" s="135">
        <f>-Персонал!M45*(1+$D$7)</f>
        <v>-24701.280399933643</v>
      </c>
      <c r="N93" s="135">
        <f>-Персонал!N45*(1+$D$7)</f>
        <v>-25343.513690331918</v>
      </c>
      <c r="O93" s="135">
        <f>-Персонал!O45*(1+$D$7)</f>
        <v>-26002.445046280547</v>
      </c>
      <c r="P93" s="71"/>
      <c r="Q93" s="165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</row>
    <row r="94" spans="1:43" x14ac:dyDescent="0.25">
      <c r="A94" s="226" t="str" cm="1">
        <f t="array" aca="1" ref="A94" ca="1">HYPERLINK(CELL("адрес",Инвестиции!A16),"источник")</f>
        <v>источник</v>
      </c>
      <c r="B94" s="528" t="s">
        <v>352</v>
      </c>
      <c r="C94" s="270" t="s">
        <v>19</v>
      </c>
      <c r="D94" s="409">
        <f>SUM(F94:O94)</f>
        <v>-58499.238095238084</v>
      </c>
      <c r="E94" s="71"/>
      <c r="F94" s="135">
        <f>-Инвестиции!F16*(1+$D$7)</f>
        <v>0</v>
      </c>
      <c r="G94" s="135">
        <f>-Инвестиции!G16*(1+$D$7)</f>
        <v>0</v>
      </c>
      <c r="H94" s="135">
        <f>-Инвестиции!H16*(1+$D$7)</f>
        <v>-12476.190476190475</v>
      </c>
      <c r="I94" s="135">
        <f>-Инвестиции!I16*(1+$D$7)</f>
        <v>-12476.190476190475</v>
      </c>
      <c r="J94" s="135">
        <f>-Инвестиции!J16*(1+$D$7)</f>
        <v>-11642.523809523809</v>
      </c>
      <c r="K94" s="135">
        <f>-Инвестиции!K16*(1+$D$7)</f>
        <v>-7237.6666666666661</v>
      </c>
      <c r="L94" s="135">
        <f>-Инвестиции!L16*(1+$D$7)</f>
        <v>-3666.6666666666661</v>
      </c>
      <c r="M94" s="135">
        <f>-Инвестиции!M16*(1+$D$7)</f>
        <v>-3666.6666666666661</v>
      </c>
      <c r="N94" s="135">
        <f>-Инвестиции!N16*(1+$D$7)</f>
        <v>-3666.6666666666661</v>
      </c>
      <c r="O94" s="135">
        <f>-Инвестиции!O16*(1+$D$7)</f>
        <v>-3666.6666666666661</v>
      </c>
      <c r="P94" s="71"/>
      <c r="Q94" s="165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</row>
    <row r="95" spans="1:43" ht="30" x14ac:dyDescent="0.25">
      <c r="A95" s="393" t="str" cm="1">
        <f t="array" aca="1" ref="A95" ca="1">HYPERLINK(CELL("адрес",ОбщПрРасходы!A5),"источник")</f>
        <v>источник</v>
      </c>
      <c r="B95" s="528" t="s">
        <v>99</v>
      </c>
      <c r="C95" s="270" t="s">
        <v>19</v>
      </c>
      <c r="D95" s="409">
        <f>SUM(F95:O95)</f>
        <v>-3000</v>
      </c>
      <c r="E95" s="71"/>
      <c r="F95" s="135">
        <f>-ОбщПрРасходы!F5*(1+$D$7)</f>
        <v>-300</v>
      </c>
      <c r="G95" s="135">
        <f>-ОбщПрРасходы!G5*(1+$D$7)</f>
        <v>-300</v>
      </c>
      <c r="H95" s="135">
        <f>-ОбщПрРасходы!H5*(1+$D$7)</f>
        <v>-300</v>
      </c>
      <c r="I95" s="135">
        <f>-ОбщПрРасходы!I5*(1+$D$7)</f>
        <v>-300</v>
      </c>
      <c r="J95" s="135">
        <f>-ОбщПрРасходы!J5*(1+$D$7)</f>
        <v>-300</v>
      </c>
      <c r="K95" s="135">
        <f>-ОбщПрРасходы!K5*(1+$D$7)</f>
        <v>-300</v>
      </c>
      <c r="L95" s="135">
        <f>-ОбщПрРасходы!L5*(1+$D$7)</f>
        <v>-300</v>
      </c>
      <c r="M95" s="135">
        <f>-ОбщПрРасходы!M5*(1+$D$7)</f>
        <v>-300</v>
      </c>
      <c r="N95" s="135">
        <f>-ОбщПрРасходы!N5*(1+$D$7)</f>
        <v>-300</v>
      </c>
      <c r="O95" s="135">
        <f>-ОбщПрРасходы!O5*(1+$D$7)</f>
        <v>-300</v>
      </c>
      <c r="P95" s="71"/>
      <c r="Q95" s="165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</row>
    <row r="96" spans="1:43" ht="15.75" thickBot="1" x14ac:dyDescent="0.3">
      <c r="A96" s="149"/>
      <c r="B96" s="396" t="s">
        <v>87</v>
      </c>
      <c r="C96" s="270" t="s">
        <v>19</v>
      </c>
      <c r="D96" s="387">
        <f>D89+D90</f>
        <v>509359.97110213357</v>
      </c>
      <c r="E96" s="71"/>
      <c r="F96" s="387">
        <f t="shared" ref="F96:O96" si="10">F89+F90</f>
        <v>-4985</v>
      </c>
      <c r="G96" s="387">
        <f t="shared" si="10"/>
        <v>-5181.8</v>
      </c>
      <c r="H96" s="387">
        <f t="shared" si="10"/>
        <v>-6765.9580253904787</v>
      </c>
      <c r="I96" s="387">
        <f t="shared" si="10"/>
        <v>58666.151322031132</v>
      </c>
      <c r="J96" s="387">
        <f t="shared" si="10"/>
        <v>62748.052039024791</v>
      </c>
      <c r="K96" s="387">
        <f t="shared" si="10"/>
        <v>70541.414542200131</v>
      </c>
      <c r="L96" s="387">
        <f t="shared" si="10"/>
        <v>77741.508458247787</v>
      </c>
      <c r="M96" s="387">
        <f t="shared" si="10"/>
        <v>81526.968735779461</v>
      </c>
      <c r="N96" s="387">
        <f t="shared" si="10"/>
        <v>85475.312023092614</v>
      </c>
      <c r="O96" s="387">
        <f t="shared" si="10"/>
        <v>89593.322007148134</v>
      </c>
      <c r="P96" s="71"/>
      <c r="Q96" s="165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</row>
    <row r="97" spans="1:43" ht="30" x14ac:dyDescent="0.25">
      <c r="A97" s="149"/>
      <c r="B97" s="397" t="s">
        <v>88</v>
      </c>
      <c r="C97" s="406" t="s">
        <v>27</v>
      </c>
      <c r="D97" s="410">
        <f>IFERROR(D96/D89,"-")</f>
        <v>0.54783228833201858</v>
      </c>
      <c r="E97" s="71"/>
      <c r="F97" s="388" t="str">
        <f t="shared" ref="F97:O97" si="11">IFERROR(F96/F89,"-")</f>
        <v>-</v>
      </c>
      <c r="G97" s="388" t="str">
        <f t="shared" si="11"/>
        <v>-</v>
      </c>
      <c r="H97" s="388">
        <f t="shared" si="11"/>
        <v>-0.17560233650118034</v>
      </c>
      <c r="I97" s="388">
        <f t="shared" si="11"/>
        <v>0.51990563029095294</v>
      </c>
      <c r="J97" s="388">
        <f t="shared" si="11"/>
        <v>0.53469217850176542</v>
      </c>
      <c r="K97" s="388">
        <f t="shared" si="11"/>
        <v>0.57798212593098086</v>
      </c>
      <c r="L97" s="388">
        <f t="shared" si="11"/>
        <v>0.61247711748463673</v>
      </c>
      <c r="M97" s="388">
        <f t="shared" si="11"/>
        <v>0.6175965487175975</v>
      </c>
      <c r="N97" s="388">
        <f t="shared" si="11"/>
        <v>0.6226025869416284</v>
      </c>
      <c r="O97" s="388">
        <f t="shared" si="11"/>
        <v>0.62749826117216867</v>
      </c>
      <c r="P97" s="71"/>
      <c r="Q97" s="165"/>
      <c r="R97" s="71"/>
      <c r="S97" s="71"/>
      <c r="T97" s="124"/>
      <c r="U97" s="137"/>
      <c r="V97" s="512"/>
      <c r="W97" s="483"/>
      <c r="X97" s="483"/>
      <c r="Y97" s="483"/>
      <c r="Z97" s="483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</row>
    <row r="98" spans="1:43" ht="28.5" x14ac:dyDescent="0.25">
      <c r="A98" s="149"/>
      <c r="B98" s="398" t="s">
        <v>153</v>
      </c>
      <c r="C98" s="270" t="s">
        <v>19</v>
      </c>
      <c r="D98" s="385">
        <f>SUM(F98:O98)</f>
        <v>-93428.051546583476</v>
      </c>
      <c r="E98" s="71"/>
      <c r="F98" s="385">
        <f t="shared" ref="F98:O98" si="12">SUM(F99:F100)</f>
        <v>-3248.88</v>
      </c>
      <c r="G98" s="385">
        <f t="shared" si="12"/>
        <v>-3323.2531199999999</v>
      </c>
      <c r="H98" s="385">
        <f t="shared" si="12"/>
        <v>-9898.2335846400001</v>
      </c>
      <c r="I98" s="385">
        <f t="shared" si="12"/>
        <v>-10161.435891425279</v>
      </c>
      <c r="J98" s="385">
        <f t="shared" si="12"/>
        <v>-10431.744660493761</v>
      </c>
      <c r="K98" s="385">
        <f t="shared" si="12"/>
        <v>-10709.351766327094</v>
      </c>
      <c r="L98" s="385">
        <f t="shared" si="12"/>
        <v>-10983.894912251597</v>
      </c>
      <c r="M98" s="385">
        <f t="shared" si="12"/>
        <v>-11265.576179970139</v>
      </c>
      <c r="N98" s="385">
        <f t="shared" si="12"/>
        <v>-11554.581160649363</v>
      </c>
      <c r="O98" s="385">
        <f t="shared" si="12"/>
        <v>-11851.100270826244</v>
      </c>
      <c r="P98" s="71"/>
      <c r="Q98" s="165"/>
      <c r="R98" s="71"/>
      <c r="S98" s="71"/>
      <c r="T98" s="124"/>
      <c r="U98" s="137"/>
      <c r="V98" s="137"/>
      <c r="W98" s="231"/>
      <c r="X98" s="231"/>
      <c r="Y98" s="231"/>
      <c r="Z98" s="231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</row>
    <row r="99" spans="1:43" ht="30" x14ac:dyDescent="0.25">
      <c r="A99" s="226" t="str" cm="1">
        <f t="array" aca="1" ref="A99" ca="1">HYPERLINK(CELL("адрес",Персонал!A46),"источник")</f>
        <v>источник</v>
      </c>
      <c r="B99" s="528" t="s">
        <v>155</v>
      </c>
      <c r="C99" s="270" t="s">
        <v>19</v>
      </c>
      <c r="D99" s="409">
        <f>SUM(F99:O99)</f>
        <v>-91928.051546583476</v>
      </c>
      <c r="E99" s="71"/>
      <c r="F99" s="135">
        <f>-Персонал!F46*(1+$D$7)</f>
        <v>-3098.88</v>
      </c>
      <c r="G99" s="135">
        <f>-Персонал!G46*(1+$D$7)</f>
        <v>-3173.2531199999999</v>
      </c>
      <c r="H99" s="135">
        <f>-Персонал!H46*(1+$D$7)</f>
        <v>-9748.2335846400001</v>
      </c>
      <c r="I99" s="135">
        <f>-Персонал!I46*(1+$D$7)</f>
        <v>-10011.435891425279</v>
      </c>
      <c r="J99" s="135">
        <f>-Персонал!J46*(1+$D$7)</f>
        <v>-10281.744660493761</v>
      </c>
      <c r="K99" s="135">
        <f>-Персонал!K46*(1+$D$7)</f>
        <v>-10559.351766327094</v>
      </c>
      <c r="L99" s="135">
        <f>-Персонал!L46*(1+$D$7)</f>
        <v>-10833.894912251597</v>
      </c>
      <c r="M99" s="135">
        <f>-Персонал!M46*(1+$D$7)</f>
        <v>-11115.576179970139</v>
      </c>
      <c r="N99" s="135">
        <f>-Персонал!N46*(1+$D$7)</f>
        <v>-11404.581160649363</v>
      </c>
      <c r="O99" s="135">
        <f>-Персонал!O46*(1+$D$7)</f>
        <v>-11701.100270826244</v>
      </c>
      <c r="P99" s="71"/>
      <c r="Q99" s="165"/>
      <c r="R99" s="71"/>
      <c r="S99" s="71"/>
      <c r="T99" s="124"/>
      <c r="U99" s="137"/>
      <c r="V99" s="137"/>
      <c r="W99" s="231"/>
      <c r="X99" s="231"/>
      <c r="Y99" s="231"/>
      <c r="Z99" s="231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</row>
    <row r="100" spans="1:43" ht="30" x14ac:dyDescent="0.25">
      <c r="A100" s="226" t="str" cm="1">
        <f t="array" aca="1" ref="A100" ca="1">HYPERLINK(CELL("адрес",АдмРасходы!A5),"источник")</f>
        <v>источник</v>
      </c>
      <c r="B100" s="528" t="s">
        <v>154</v>
      </c>
      <c r="C100" s="270" t="s">
        <v>19</v>
      </c>
      <c r="D100" s="409">
        <f>SUM(F100:O100)</f>
        <v>-1500</v>
      </c>
      <c r="E100" s="71"/>
      <c r="F100" s="135">
        <f>-АдмРасходы!F5*(1+$D$7)</f>
        <v>-150</v>
      </c>
      <c r="G100" s="135">
        <f>-АдмРасходы!G5*(1+$D$7)</f>
        <v>-150</v>
      </c>
      <c r="H100" s="135">
        <f>-АдмРасходы!H5*(1+$D$7)</f>
        <v>-150</v>
      </c>
      <c r="I100" s="135">
        <f>-АдмРасходы!I5*(1+$D$7)</f>
        <v>-150</v>
      </c>
      <c r="J100" s="135">
        <f>-АдмРасходы!J5*(1+$D$7)</f>
        <v>-150</v>
      </c>
      <c r="K100" s="135">
        <f>-АдмРасходы!K5*(1+$D$7)</f>
        <v>-150</v>
      </c>
      <c r="L100" s="135">
        <f>-АдмРасходы!L5*(1+$D$7)</f>
        <v>-150</v>
      </c>
      <c r="M100" s="135">
        <f>-АдмРасходы!M5*(1+$D$7)</f>
        <v>-150</v>
      </c>
      <c r="N100" s="135">
        <f>-АдмРасходы!N5*(1+$D$7)</f>
        <v>-150</v>
      </c>
      <c r="O100" s="135">
        <f>-АдмРасходы!O5*(1+$D$7)</f>
        <v>-150</v>
      </c>
      <c r="P100" s="71"/>
      <c r="Q100" s="165"/>
      <c r="R100" s="71"/>
      <c r="S100" s="71"/>
      <c r="T100" s="124"/>
      <c r="U100" s="137"/>
      <c r="V100" s="137"/>
      <c r="W100" s="231"/>
      <c r="X100" s="231"/>
      <c r="Y100" s="231"/>
      <c r="Z100" s="231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</row>
    <row r="101" spans="1:43" ht="29.25" thickBot="1" x14ac:dyDescent="0.3">
      <c r="A101" s="149"/>
      <c r="B101" s="396" t="s">
        <v>89</v>
      </c>
      <c r="C101" s="270" t="s">
        <v>19</v>
      </c>
      <c r="D101" s="387">
        <f>D96+D98</f>
        <v>415931.91955555009</v>
      </c>
      <c r="E101" s="71"/>
      <c r="F101" s="387">
        <f t="shared" ref="F101:O101" si="13">F96+F98</f>
        <v>-8233.880000000001</v>
      </c>
      <c r="G101" s="387">
        <f t="shared" si="13"/>
        <v>-8505.0531200000005</v>
      </c>
      <c r="H101" s="387">
        <f t="shared" si="13"/>
        <v>-16664.191610030481</v>
      </c>
      <c r="I101" s="387">
        <f t="shared" si="13"/>
        <v>48504.715430605851</v>
      </c>
      <c r="J101" s="387">
        <f t="shared" si="13"/>
        <v>52316.307378531026</v>
      </c>
      <c r="K101" s="387">
        <f t="shared" si="13"/>
        <v>59832.062775873041</v>
      </c>
      <c r="L101" s="387">
        <f t="shared" si="13"/>
        <v>66757.613545996195</v>
      </c>
      <c r="M101" s="387">
        <f t="shared" si="13"/>
        <v>70261.392555809318</v>
      </c>
      <c r="N101" s="387">
        <f t="shared" si="13"/>
        <v>73920.730862443248</v>
      </c>
      <c r="O101" s="387">
        <f t="shared" si="13"/>
        <v>77742.221736321895</v>
      </c>
      <c r="P101" s="71"/>
      <c r="Q101" s="165"/>
      <c r="R101" s="71"/>
      <c r="S101" s="71"/>
      <c r="T101" s="124"/>
      <c r="U101" s="137"/>
      <c r="V101" s="137"/>
      <c r="W101" s="231"/>
      <c r="X101" s="231"/>
      <c r="Y101" s="231"/>
      <c r="Z101" s="231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</row>
    <row r="102" spans="1:43" ht="30" x14ac:dyDescent="0.25">
      <c r="A102" s="149"/>
      <c r="B102" s="399" t="s">
        <v>90</v>
      </c>
      <c r="C102" s="406" t="s">
        <v>27</v>
      </c>
      <c r="D102" s="410">
        <f>IFERROR(D101/D89,"-")</f>
        <v>0.44734755027453238</v>
      </c>
      <c r="E102" s="71"/>
      <c r="F102" s="388" t="str">
        <f t="shared" ref="F102:O102" si="14">IFERROR(F101/F89,"-")</f>
        <v>-</v>
      </c>
      <c r="G102" s="388" t="str">
        <f t="shared" si="14"/>
        <v>-</v>
      </c>
      <c r="H102" s="388">
        <f t="shared" si="14"/>
        <v>-0.43249913340333457</v>
      </c>
      <c r="I102" s="388">
        <f t="shared" si="14"/>
        <v>0.42985391200466017</v>
      </c>
      <c r="J102" s="388">
        <f t="shared" si="14"/>
        <v>0.44580061777850033</v>
      </c>
      <c r="K102" s="388">
        <f t="shared" si="14"/>
        <v>0.49023489345180382</v>
      </c>
      <c r="L102" s="388">
        <f t="shared" si="14"/>
        <v>0.52594182343097096</v>
      </c>
      <c r="M102" s="388">
        <f t="shared" si="14"/>
        <v>0.53225569677676865</v>
      </c>
      <c r="N102" s="388">
        <f t="shared" si="14"/>
        <v>0.53843896178043871</v>
      </c>
      <c r="O102" s="388">
        <f t="shared" si="14"/>
        <v>0.54449492290631929</v>
      </c>
      <c r="P102" s="71"/>
      <c r="Q102" s="165"/>
      <c r="R102" s="71"/>
      <c r="S102" s="71"/>
      <c r="T102" s="124"/>
      <c r="U102" s="137"/>
      <c r="V102" s="137"/>
      <c r="W102" s="231"/>
      <c r="X102" s="231"/>
      <c r="Y102" s="231"/>
      <c r="Z102" s="231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</row>
    <row r="103" spans="1:43" x14ac:dyDescent="0.25">
      <c r="A103" s="149"/>
      <c r="B103" s="91" t="s">
        <v>93</v>
      </c>
      <c r="C103" s="270" t="s">
        <v>19</v>
      </c>
      <c r="D103" s="411">
        <f t="shared" ref="D103:D108" si="15">SUM(F103:O103)</f>
        <v>0</v>
      </c>
      <c r="E103" s="7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71"/>
      <c r="Q103" s="165"/>
      <c r="R103" s="71"/>
      <c r="S103" s="71"/>
      <c r="T103" s="124"/>
      <c r="U103" s="137"/>
      <c r="V103" s="137"/>
      <c r="W103" s="231"/>
      <c r="X103" s="231"/>
      <c r="Y103" s="231"/>
      <c r="Z103" s="231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</row>
    <row r="104" spans="1:43" ht="30" x14ac:dyDescent="0.25">
      <c r="A104" s="393" t="s">
        <v>349</v>
      </c>
      <c r="B104" s="529" t="s">
        <v>713</v>
      </c>
      <c r="C104" s="270" t="s">
        <v>19</v>
      </c>
      <c r="D104" s="411">
        <f t="shared" ca="1" si="15"/>
        <v>-51300</v>
      </c>
      <c r="E104" s="71"/>
      <c r="F104" s="230">
        <f t="shared" ref="F104:O104" ca="1" si="16">-F187</f>
        <v>0</v>
      </c>
      <c r="G104" s="230">
        <f t="shared" ca="1" si="16"/>
        <v>-5700</v>
      </c>
      <c r="H104" s="230">
        <f t="shared" ca="1" si="16"/>
        <v>-10687.5</v>
      </c>
      <c r="I104" s="230">
        <f t="shared" ca="1" si="16"/>
        <v>-9262.5</v>
      </c>
      <c r="J104" s="230">
        <f t="shared" ca="1" si="16"/>
        <v>-7837.5</v>
      </c>
      <c r="K104" s="230">
        <f t="shared" ca="1" si="16"/>
        <v>-6412.5</v>
      </c>
      <c r="L104" s="230">
        <f t="shared" ca="1" si="16"/>
        <v>-4987.5</v>
      </c>
      <c r="M104" s="230">
        <f t="shared" ca="1" si="16"/>
        <v>-3562.5</v>
      </c>
      <c r="N104" s="230">
        <f t="shared" ca="1" si="16"/>
        <v>-2137.5</v>
      </c>
      <c r="O104" s="230">
        <f t="shared" ca="1" si="16"/>
        <v>-712.5</v>
      </c>
      <c r="P104" s="71"/>
      <c r="Q104" s="165"/>
      <c r="R104" s="71"/>
      <c r="S104" s="71"/>
      <c r="T104" s="124"/>
      <c r="U104" s="137"/>
      <c r="V104" s="137"/>
      <c r="W104" s="231"/>
      <c r="X104" s="231"/>
      <c r="Y104" s="231"/>
      <c r="Z104" s="231"/>
      <c r="AA104" s="231"/>
      <c r="AB104" s="231"/>
      <c r="AC104" s="231"/>
      <c r="AD104" s="231"/>
      <c r="AE104" s="231"/>
      <c r="AF104" s="485"/>
      <c r="AG104" s="513"/>
      <c r="AH104" s="496"/>
      <c r="AI104" s="231"/>
      <c r="AJ104" s="231"/>
      <c r="AK104" s="231"/>
      <c r="AL104" s="231"/>
      <c r="AM104" s="231"/>
      <c r="AN104" s="231"/>
      <c r="AO104" s="231"/>
      <c r="AP104" s="231"/>
      <c r="AQ104" s="231"/>
    </row>
    <row r="105" spans="1:43" x14ac:dyDescent="0.25">
      <c r="A105" s="226" t="str" cm="1">
        <f t="array" aca="1" ref="A105" ca="1">HYPERLINK(CELL("адрес",ПрочДоходы!A5),"источник")</f>
        <v>источник</v>
      </c>
      <c r="B105" s="91" t="s">
        <v>91</v>
      </c>
      <c r="C105" s="270" t="s">
        <v>19</v>
      </c>
      <c r="D105" s="411">
        <f t="shared" si="15"/>
        <v>560</v>
      </c>
      <c r="E105" s="71"/>
      <c r="F105" s="231">
        <f>ПрочДоходы!F5</f>
        <v>0</v>
      </c>
      <c r="G105" s="231">
        <f>ПрочДоходы!G5</f>
        <v>0</v>
      </c>
      <c r="H105" s="231">
        <f>ПрочДоходы!H5</f>
        <v>70</v>
      </c>
      <c r="I105" s="231">
        <f>ПрочДоходы!I5</f>
        <v>70</v>
      </c>
      <c r="J105" s="231">
        <f>ПрочДоходы!J5</f>
        <v>70</v>
      </c>
      <c r="K105" s="231">
        <f>ПрочДоходы!K5</f>
        <v>70</v>
      </c>
      <c r="L105" s="231">
        <f>ПрочДоходы!L5</f>
        <v>70</v>
      </c>
      <c r="M105" s="231">
        <f>ПрочДоходы!M5</f>
        <v>70</v>
      </c>
      <c r="N105" s="231">
        <f>ПрочДоходы!N5</f>
        <v>70</v>
      </c>
      <c r="O105" s="231">
        <f>ПрочДоходы!O5</f>
        <v>70</v>
      </c>
      <c r="P105" s="71"/>
      <c r="Q105" s="165"/>
      <c r="R105" s="71"/>
      <c r="S105" s="71"/>
      <c r="T105" s="124"/>
      <c r="U105" s="137"/>
      <c r="V105" s="137"/>
      <c r="W105" s="231"/>
      <c r="X105" s="231"/>
      <c r="Y105" s="231"/>
      <c r="Z105" s="231"/>
      <c r="AA105" s="231"/>
      <c r="AB105" s="231"/>
      <c r="AC105" s="231"/>
      <c r="AD105" s="231"/>
      <c r="AE105" s="231"/>
      <c r="AF105" s="485"/>
      <c r="AG105" s="513"/>
      <c r="AH105" s="496"/>
      <c r="AI105" s="231"/>
      <c r="AJ105" s="231"/>
      <c r="AK105" s="231"/>
      <c r="AL105" s="231"/>
      <c r="AM105" s="231"/>
      <c r="AN105" s="231"/>
      <c r="AO105" s="231"/>
      <c r="AP105" s="231"/>
      <c r="AQ105" s="231"/>
    </row>
    <row r="106" spans="1:43" x14ac:dyDescent="0.25">
      <c r="A106" s="226" t="str" cm="1">
        <f t="array" aca="1" ref="A106" ca="1">HYPERLINK(CELL("адрес",ПрочРасходы!A5),"источник")</f>
        <v>источник</v>
      </c>
      <c r="B106" s="91" t="s">
        <v>92</v>
      </c>
      <c r="C106" s="270" t="s">
        <v>19</v>
      </c>
      <c r="D106" s="411">
        <f t="shared" si="15"/>
        <v>-200</v>
      </c>
      <c r="E106" s="71"/>
      <c r="F106" s="231">
        <f>-ПрочРасходы!F5</f>
        <v>-20</v>
      </c>
      <c r="G106" s="231">
        <f>-ПрочРасходы!G5</f>
        <v>-20</v>
      </c>
      <c r="H106" s="231">
        <f>-ПрочРасходы!H5</f>
        <v>-20</v>
      </c>
      <c r="I106" s="231">
        <f>-ПрочРасходы!I5</f>
        <v>-20</v>
      </c>
      <c r="J106" s="231">
        <f>-ПрочРасходы!J5</f>
        <v>-20</v>
      </c>
      <c r="K106" s="231">
        <f>-ПрочРасходы!K5</f>
        <v>-20</v>
      </c>
      <c r="L106" s="231">
        <f>-ПрочРасходы!L5</f>
        <v>-20</v>
      </c>
      <c r="M106" s="231">
        <f>-ПрочРасходы!M5</f>
        <v>-20</v>
      </c>
      <c r="N106" s="231">
        <f>-ПрочРасходы!N5</f>
        <v>-20</v>
      </c>
      <c r="O106" s="231">
        <f>-ПрочРасходы!O5</f>
        <v>-20</v>
      </c>
      <c r="P106" s="71"/>
      <c r="Q106" s="165"/>
      <c r="R106" s="71"/>
      <c r="S106" s="71"/>
      <c r="T106" s="124"/>
      <c r="U106" s="137"/>
      <c r="V106" s="137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485"/>
      <c r="AG106" s="513"/>
      <c r="AH106" s="496"/>
      <c r="AI106" s="231"/>
      <c r="AJ106" s="231"/>
      <c r="AK106" s="231"/>
      <c r="AL106" s="231"/>
      <c r="AM106" s="231"/>
      <c r="AN106" s="231"/>
      <c r="AO106" s="231"/>
      <c r="AP106" s="231"/>
      <c r="AQ106" s="231"/>
    </row>
    <row r="107" spans="1:43" x14ac:dyDescent="0.25">
      <c r="A107" s="226"/>
      <c r="B107" s="400" t="s">
        <v>362</v>
      </c>
      <c r="C107" s="270" t="s">
        <v>19</v>
      </c>
      <c r="D107" s="411">
        <f t="shared" si="15"/>
        <v>0</v>
      </c>
      <c r="E107" s="71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71"/>
      <c r="Q107" s="165"/>
      <c r="R107" s="71"/>
      <c r="S107" s="71"/>
      <c r="T107" s="124"/>
      <c r="U107" s="137"/>
      <c r="V107" s="137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485"/>
      <c r="AG107" s="513"/>
      <c r="AH107" s="496"/>
      <c r="AI107" s="231"/>
      <c r="AJ107" s="231"/>
      <c r="AK107" s="231"/>
      <c r="AL107" s="231"/>
      <c r="AM107" s="231"/>
      <c r="AN107" s="231"/>
      <c r="AO107" s="231"/>
      <c r="AP107" s="231"/>
      <c r="AQ107" s="231"/>
    </row>
    <row r="108" spans="1:43" ht="30" x14ac:dyDescent="0.25">
      <c r="A108" s="226" t="str" cm="1">
        <f t="array" aca="1" ref="A108" ca="1">HYPERLINK(CELL("адрес",НалИмущество!A19),"источник")</f>
        <v>источник</v>
      </c>
      <c r="B108" s="400" t="s">
        <v>360</v>
      </c>
      <c r="C108" s="270" t="s">
        <v>19</v>
      </c>
      <c r="D108" s="411">
        <f t="shared" si="15"/>
        <v>0</v>
      </c>
      <c r="E108" s="71"/>
      <c r="F108" s="389">
        <f>-НалИмущество!F19</f>
        <v>0</v>
      </c>
      <c r="G108" s="389">
        <f>-НалИмущество!G19</f>
        <v>0</v>
      </c>
      <c r="H108" s="389">
        <f>-НалИмущество!H19</f>
        <v>0</v>
      </c>
      <c r="I108" s="389">
        <f>-НалИмущество!I19</f>
        <v>0</v>
      </c>
      <c r="J108" s="389">
        <f>-НалИмущество!J19</f>
        <v>0</v>
      </c>
      <c r="K108" s="389">
        <f>-НалИмущество!K19</f>
        <v>0</v>
      </c>
      <c r="L108" s="389">
        <f>-НалИмущество!L19</f>
        <v>0</v>
      </c>
      <c r="M108" s="389">
        <f>-НалИмущество!M19</f>
        <v>0</v>
      </c>
      <c r="N108" s="389">
        <f>-НалИмущество!N19</f>
        <v>0</v>
      </c>
      <c r="O108" s="389">
        <f>-НалИмущество!O19</f>
        <v>0</v>
      </c>
      <c r="P108" s="71"/>
      <c r="Q108" s="165"/>
      <c r="R108" s="71"/>
      <c r="S108" s="71"/>
      <c r="T108" s="124"/>
      <c r="U108" s="137"/>
      <c r="V108" s="137"/>
      <c r="W108" s="231"/>
      <c r="X108" s="231"/>
      <c r="Y108" s="231"/>
      <c r="Z108" s="231"/>
      <c r="AA108" s="231"/>
      <c r="AB108" s="231"/>
      <c r="AC108" s="231"/>
      <c r="AD108" s="231"/>
      <c r="AE108" s="231"/>
      <c r="AF108" s="485"/>
      <c r="AG108" s="513"/>
      <c r="AH108" s="496"/>
      <c r="AI108" s="231"/>
      <c r="AJ108" s="231"/>
      <c r="AK108" s="231"/>
      <c r="AL108" s="231"/>
      <c r="AM108" s="231"/>
      <c r="AN108" s="231"/>
      <c r="AO108" s="231"/>
      <c r="AP108" s="231"/>
      <c r="AQ108" s="231"/>
    </row>
    <row r="109" spans="1:43" ht="29.25" thickBot="1" x14ac:dyDescent="0.3">
      <c r="A109" s="149"/>
      <c r="B109" s="396" t="s">
        <v>95</v>
      </c>
      <c r="C109" s="270" t="s">
        <v>19</v>
      </c>
      <c r="D109" s="387">
        <f ca="1">D101+SUM(D103:D108)</f>
        <v>364991.91955555009</v>
      </c>
      <c r="E109" s="71"/>
      <c r="F109" s="387">
        <f t="shared" ref="F109:O109" ca="1" si="17">F101+SUM(F103:F108)</f>
        <v>-8253.880000000001</v>
      </c>
      <c r="G109" s="387">
        <f t="shared" ca="1" si="17"/>
        <v>-14225.05312</v>
      </c>
      <c r="H109" s="387">
        <f t="shared" ca="1" si="17"/>
        <v>-27301.691610030481</v>
      </c>
      <c r="I109" s="387">
        <f t="shared" ca="1" si="17"/>
        <v>39292.215430605851</v>
      </c>
      <c r="J109" s="387">
        <f t="shared" ca="1" si="17"/>
        <v>44528.807378531026</v>
      </c>
      <c r="K109" s="387">
        <f t="shared" ca="1" si="17"/>
        <v>53469.562775873041</v>
      </c>
      <c r="L109" s="387">
        <f t="shared" ca="1" si="17"/>
        <v>61820.113545996195</v>
      </c>
      <c r="M109" s="387">
        <f t="shared" ca="1" si="17"/>
        <v>66748.892555809318</v>
      </c>
      <c r="N109" s="387">
        <f t="shared" ca="1" si="17"/>
        <v>71833.230862443248</v>
      </c>
      <c r="O109" s="387">
        <f t="shared" ca="1" si="17"/>
        <v>77079.721736321895</v>
      </c>
      <c r="P109" s="71"/>
      <c r="Q109" s="165"/>
      <c r="R109" s="71"/>
      <c r="S109" s="71"/>
      <c r="T109" s="124"/>
      <c r="U109" s="137"/>
      <c r="V109" s="137"/>
      <c r="W109" s="231"/>
      <c r="X109" s="231"/>
      <c r="Y109" s="231"/>
      <c r="Z109" s="231"/>
      <c r="AA109" s="231"/>
      <c r="AB109" s="231"/>
      <c r="AC109" s="231"/>
      <c r="AD109" s="231"/>
      <c r="AE109" s="231"/>
      <c r="AF109" s="485"/>
      <c r="AG109" s="513"/>
      <c r="AH109" s="496"/>
      <c r="AI109" s="231"/>
      <c r="AJ109" s="231"/>
      <c r="AK109" s="231"/>
      <c r="AL109" s="231"/>
      <c r="AM109" s="231"/>
      <c r="AN109" s="231"/>
      <c r="AO109" s="231"/>
      <c r="AP109" s="231"/>
      <c r="AQ109" s="231"/>
    </row>
    <row r="110" spans="1:43" ht="30" x14ac:dyDescent="0.25">
      <c r="A110" s="149"/>
      <c r="B110" s="399" t="s">
        <v>96</v>
      </c>
      <c r="C110" s="406" t="s">
        <v>27</v>
      </c>
      <c r="D110" s="410">
        <f ca="1">IFERROR(D109/D89,"-")</f>
        <v>0.39256001621046011</v>
      </c>
      <c r="E110" s="71"/>
      <c r="F110" s="388" t="str">
        <f t="shared" ref="F110:O110" ca="1" si="18">IFERROR(F109/F89,"-")</f>
        <v>-</v>
      </c>
      <c r="G110" s="388" t="str">
        <f t="shared" ca="1" si="18"/>
        <v>-</v>
      </c>
      <c r="H110" s="388">
        <f t="shared" ca="1" si="18"/>
        <v>-0.70858270464652173</v>
      </c>
      <c r="I110" s="388">
        <f t="shared" ca="1" si="18"/>
        <v>0.34821176383025393</v>
      </c>
      <c r="J110" s="388">
        <f t="shared" ca="1" si="18"/>
        <v>0.37944134119900047</v>
      </c>
      <c r="K110" s="388">
        <f t="shared" ca="1" si="18"/>
        <v>0.43810365536845181</v>
      </c>
      <c r="L110" s="388">
        <f t="shared" ca="1" si="18"/>
        <v>0.48704232395438779</v>
      </c>
      <c r="M110" s="388">
        <f t="shared" ca="1" si="18"/>
        <v>0.50564722707637955</v>
      </c>
      <c r="N110" s="388">
        <f t="shared" ca="1" si="18"/>
        <v>0.52323360166558441</v>
      </c>
      <c r="O110" s="388">
        <f t="shared" ca="1" si="18"/>
        <v>0.53985487174275837</v>
      </c>
      <c r="P110" s="71"/>
      <c r="Q110" s="71"/>
      <c r="R110" s="71"/>
      <c r="S110" s="71"/>
      <c r="T110" s="124"/>
      <c r="U110" s="137"/>
      <c r="V110" s="137"/>
      <c r="W110" s="231"/>
      <c r="X110" s="231"/>
      <c r="Y110" s="231"/>
      <c r="Z110" s="231"/>
      <c r="AA110" s="231"/>
      <c r="AB110" s="231"/>
      <c r="AC110" s="231"/>
      <c r="AD110" s="231"/>
      <c r="AE110" s="231"/>
      <c r="AF110" s="485"/>
      <c r="AG110" s="513"/>
      <c r="AH110" s="496"/>
      <c r="AI110" s="231"/>
      <c r="AJ110" s="231"/>
      <c r="AK110" s="231"/>
      <c r="AL110" s="231"/>
      <c r="AM110" s="231"/>
      <c r="AN110" s="231"/>
      <c r="AO110" s="231"/>
      <c r="AP110" s="231"/>
      <c r="AQ110" s="231"/>
    </row>
    <row r="111" spans="1:43" ht="30" x14ac:dyDescent="0.25">
      <c r="A111" s="149"/>
      <c r="B111" s="529" t="s">
        <v>809</v>
      </c>
      <c r="C111" s="270" t="s">
        <v>19</v>
      </c>
      <c r="D111" s="411">
        <f ca="1">SUM(F111:O111)</f>
        <v>-14745.486021049261</v>
      </c>
      <c r="E111" s="71"/>
      <c r="F111" s="231">
        <f t="shared" ref="F111:H111" ca="1" si="19">-F109*2%</f>
        <v>165.07760000000002</v>
      </c>
      <c r="G111" s="231">
        <f t="shared" ca="1" si="19"/>
        <v>284.50106240000002</v>
      </c>
      <c r="H111" s="231">
        <f t="shared" ca="1" si="19"/>
        <v>546.0338322006096</v>
      </c>
      <c r="I111" s="231">
        <f ca="1">-I109*2%</f>
        <v>-785.84430861211706</v>
      </c>
      <c r="J111" s="231">
        <f ca="1">-J109*2%</f>
        <v>-890.57614757062049</v>
      </c>
      <c r="K111" s="231">
        <f ca="1">-K109*2%</f>
        <v>-1069.3912555174609</v>
      </c>
      <c r="L111" s="231">
        <f ca="1">-L109*2%</f>
        <v>-1236.4022709199239</v>
      </c>
      <c r="M111" s="231">
        <f ca="1">-M109*2%</f>
        <v>-1334.9778511161865</v>
      </c>
      <c r="N111" s="231">
        <f ca="1">-N109*7%</f>
        <v>-5028.326160371028</v>
      </c>
      <c r="O111" s="231">
        <f ca="1">-O109*7%</f>
        <v>-5395.5805215425335</v>
      </c>
      <c r="P111" s="71"/>
      <c r="Q111" s="71"/>
      <c r="R111" s="71"/>
      <c r="S111" s="71"/>
      <c r="T111" s="124"/>
      <c r="U111" s="137"/>
      <c r="V111" s="137"/>
      <c r="W111" s="231"/>
      <c r="X111" s="231"/>
      <c r="Y111" s="231"/>
      <c r="Z111" s="231"/>
      <c r="AA111" s="231"/>
      <c r="AB111" s="231"/>
      <c r="AC111" s="231"/>
      <c r="AD111" s="231"/>
      <c r="AE111" s="231"/>
      <c r="AF111" s="485"/>
      <c r="AG111" s="514"/>
      <c r="AH111" s="496"/>
      <c r="AI111" s="231"/>
      <c r="AJ111" s="231"/>
      <c r="AK111" s="231"/>
      <c r="AL111" s="231"/>
      <c r="AM111" s="231"/>
      <c r="AN111" s="231"/>
      <c r="AO111" s="231"/>
      <c r="AP111" s="231"/>
      <c r="AQ111" s="231"/>
    </row>
    <row r="112" spans="1:43" ht="15.75" thickBot="1" x14ac:dyDescent="0.3">
      <c r="A112" s="149"/>
      <c r="B112" s="396" t="s">
        <v>100</v>
      </c>
      <c r="C112" s="270" t="s">
        <v>19</v>
      </c>
      <c r="D112" s="387">
        <f ca="1">D109+D111</f>
        <v>350246.43353450083</v>
      </c>
      <c r="E112" s="71"/>
      <c r="F112" s="387">
        <f t="shared" ref="F112:O112" ca="1" si="20">F109+F111</f>
        <v>-8088.8024000000014</v>
      </c>
      <c r="G112" s="387">
        <f t="shared" ca="1" si="20"/>
        <v>-13940.5520576</v>
      </c>
      <c r="H112" s="387">
        <f t="shared" ca="1" si="20"/>
        <v>-26755.657777829871</v>
      </c>
      <c r="I112" s="387">
        <f t="shared" ca="1" si="20"/>
        <v>38506.371121993732</v>
      </c>
      <c r="J112" s="387">
        <f t="shared" ca="1" si="20"/>
        <v>43638.231230960402</v>
      </c>
      <c r="K112" s="387">
        <f t="shared" ca="1" si="20"/>
        <v>52400.17152035558</v>
      </c>
      <c r="L112" s="387">
        <f t="shared" ca="1" si="20"/>
        <v>60583.711275076268</v>
      </c>
      <c r="M112" s="387">
        <f t="shared" ca="1" si="20"/>
        <v>65413.914704693132</v>
      </c>
      <c r="N112" s="387">
        <f t="shared" ca="1" si="20"/>
        <v>66804.904702072221</v>
      </c>
      <c r="O112" s="387">
        <f t="shared" ca="1" si="20"/>
        <v>71684.14121477936</v>
      </c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</row>
    <row r="113" spans="1:15" ht="30" x14ac:dyDescent="0.25">
      <c r="A113" s="149"/>
      <c r="B113" s="399" t="s">
        <v>98</v>
      </c>
      <c r="C113" s="406" t="s">
        <v>27</v>
      </c>
      <c r="D113" s="410">
        <f ca="1">IFERROR(D112/D89,"-")</f>
        <v>0.3767007932487495</v>
      </c>
      <c r="E113" s="71"/>
      <c r="F113" s="388" t="str">
        <f t="shared" ref="F113:O113" ca="1" si="21">IFERROR(F112/F89,"-")</f>
        <v>-</v>
      </c>
      <c r="G113" s="388" t="str">
        <f t="shared" ca="1" si="21"/>
        <v>-</v>
      </c>
      <c r="H113" s="388">
        <f t="shared" ca="1" si="21"/>
        <v>-0.6944110505535912</v>
      </c>
      <c r="I113" s="388">
        <f t="shared" ca="1" si="21"/>
        <v>0.34124752855364882</v>
      </c>
      <c r="J113" s="388">
        <f t="shared" ca="1" si="21"/>
        <v>0.37185251437502043</v>
      </c>
      <c r="K113" s="388">
        <f t="shared" ca="1" si="21"/>
        <v>0.42934158226108277</v>
      </c>
      <c r="L113" s="388">
        <f t="shared" ca="1" si="21"/>
        <v>0.4773014774753</v>
      </c>
      <c r="M113" s="388">
        <f t="shared" ca="1" si="21"/>
        <v>0.49553428253485199</v>
      </c>
      <c r="N113" s="388">
        <f t="shared" ca="1" si="21"/>
        <v>0.48660724954899354</v>
      </c>
      <c r="O113" s="388">
        <f t="shared" ca="1" si="21"/>
        <v>0.50206503072076525</v>
      </c>
    </row>
    <row r="114" spans="1:15" x14ac:dyDescent="0.25">
      <c r="A114" s="149"/>
      <c r="B114" s="178"/>
      <c r="C114" s="407"/>
      <c r="D114" s="412"/>
      <c r="E114" s="71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</row>
    <row r="115" spans="1:15" ht="15.75" thickBot="1" x14ac:dyDescent="0.3">
      <c r="A115" s="149"/>
      <c r="B115" s="396" t="s">
        <v>102</v>
      </c>
      <c r="C115" s="270" t="s">
        <v>19</v>
      </c>
      <c r="D115" s="387">
        <f ca="1">D109-D94-D103-D104</f>
        <v>474791.1576507882</v>
      </c>
      <c r="E115" s="71"/>
      <c r="F115" s="387">
        <f t="shared" ref="F115:O115" ca="1" si="22">F109-F94-F103-F104</f>
        <v>-8253.880000000001</v>
      </c>
      <c r="G115" s="387">
        <f t="shared" ca="1" si="22"/>
        <v>-8525.0531200000005</v>
      </c>
      <c r="H115" s="387">
        <f t="shared" ca="1" si="22"/>
        <v>-4138.0011338400054</v>
      </c>
      <c r="I115" s="387">
        <f t="shared" ca="1" si="22"/>
        <v>61030.905906796324</v>
      </c>
      <c r="J115" s="387">
        <f t="shared" ca="1" si="22"/>
        <v>64008.831188054835</v>
      </c>
      <c r="K115" s="387">
        <f t="shared" ca="1" si="22"/>
        <v>67119.729442539712</v>
      </c>
      <c r="L115" s="387">
        <f t="shared" ca="1" si="22"/>
        <v>70474.280212662852</v>
      </c>
      <c r="M115" s="387">
        <f t="shared" ca="1" si="22"/>
        <v>73978.059222475989</v>
      </c>
      <c r="N115" s="387">
        <f t="shared" ca="1" si="22"/>
        <v>77637.39752910992</v>
      </c>
      <c r="O115" s="387">
        <f t="shared" ca="1" si="22"/>
        <v>81458.888402988567</v>
      </c>
    </row>
    <row r="116" spans="1:15" x14ac:dyDescent="0.25">
      <c r="A116" s="149"/>
      <c r="B116" s="399" t="s">
        <v>103</v>
      </c>
      <c r="C116" s="406" t="s">
        <v>27</v>
      </c>
      <c r="D116" s="410">
        <f ca="1">IFERROR(D115/D89,"-")</f>
        <v>0.51065246806267928</v>
      </c>
      <c r="E116" s="71"/>
      <c r="F116" s="388" t="str">
        <f t="shared" ref="F116:O116" ca="1" si="23">IFERROR(F115/F89,"-")</f>
        <v>-</v>
      </c>
      <c r="G116" s="388" t="str">
        <f t="shared" ca="1" si="23"/>
        <v>-</v>
      </c>
      <c r="H116" s="388">
        <f t="shared" ca="1" si="23"/>
        <v>-0.10739686306358695</v>
      </c>
      <c r="I116" s="388">
        <f t="shared" ca="1" si="23"/>
        <v>0.54086233522506488</v>
      </c>
      <c r="J116" s="388">
        <f t="shared" ca="1" si="23"/>
        <v>0.5454355996582535</v>
      </c>
      <c r="K116" s="388">
        <f t="shared" ca="1" si="23"/>
        <v>0.54994649833543585</v>
      </c>
      <c r="L116" s="388">
        <f t="shared" ca="1" si="23"/>
        <v>0.55522313442937776</v>
      </c>
      <c r="M116" s="388">
        <f t="shared" ca="1" si="23"/>
        <v>0.56041080350600614</v>
      </c>
      <c r="N116" s="388">
        <f t="shared" ca="1" si="23"/>
        <v>0.56551117978932075</v>
      </c>
      <c r="O116" s="388">
        <f t="shared" ca="1" si="23"/>
        <v>0.5705259017610137</v>
      </c>
    </row>
    <row r="117" spans="1:15" x14ac:dyDescent="0.25">
      <c r="A117" s="149"/>
      <c r="B117" s="167"/>
      <c r="C117" s="407"/>
      <c r="D117" s="412"/>
      <c r="E117" s="71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</row>
    <row r="118" spans="1:15" ht="45" x14ac:dyDescent="0.25">
      <c r="A118" s="149"/>
      <c r="B118" s="91" t="s">
        <v>173</v>
      </c>
      <c r="C118" s="270"/>
      <c r="D118" s="411"/>
      <c r="E118" s="71"/>
      <c r="F118" s="231">
        <f ca="1">F112</f>
        <v>-8088.8024000000014</v>
      </c>
      <c r="G118" s="231">
        <f t="shared" ref="G118:O118" ca="1" si="24">F118+G112</f>
        <v>-22029.354457600002</v>
      </c>
      <c r="H118" s="231">
        <f t="shared" ca="1" si="24"/>
        <v>-48785.012235429873</v>
      </c>
      <c r="I118" s="231">
        <f t="shared" ca="1" si="24"/>
        <v>-10278.641113436141</v>
      </c>
      <c r="J118" s="231">
        <f t="shared" ca="1" si="24"/>
        <v>33359.590117524262</v>
      </c>
      <c r="K118" s="231">
        <f t="shared" ca="1" si="24"/>
        <v>85759.761637879841</v>
      </c>
      <c r="L118" s="231">
        <f t="shared" ca="1" si="24"/>
        <v>146343.47291295612</v>
      </c>
      <c r="M118" s="231">
        <f t="shared" ca="1" si="24"/>
        <v>211757.38761764925</v>
      </c>
      <c r="N118" s="231">
        <f t="shared" ca="1" si="24"/>
        <v>278562.29231972148</v>
      </c>
      <c r="O118" s="231">
        <f t="shared" ca="1" si="24"/>
        <v>350246.43353450083</v>
      </c>
    </row>
    <row r="119" spans="1:15" x14ac:dyDescent="0.25">
      <c r="A119" s="71"/>
      <c r="B119" s="167"/>
      <c r="C119" s="404"/>
      <c r="D119" s="124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</row>
    <row r="120" spans="1:15" ht="18.75" x14ac:dyDescent="0.25">
      <c r="A120" s="520" t="s">
        <v>625</v>
      </c>
      <c r="B120" s="167"/>
      <c r="C120" s="404"/>
      <c r="D120" s="124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</row>
    <row r="121" spans="1:15" x14ac:dyDescent="0.25">
      <c r="A121" s="71" t="str">
        <f>Паспорт_ФМ_резидент!$B$7</f>
        <v>Название инвест. проект 01</v>
      </c>
      <c r="B121" s="167"/>
      <c r="C121" s="428"/>
      <c r="D121" s="71"/>
      <c r="E121" s="71"/>
      <c r="F121" s="126">
        <v>1</v>
      </c>
      <c r="G121" s="126">
        <v>2</v>
      </c>
      <c r="H121" s="126">
        <v>3</v>
      </c>
      <c r="I121" s="126">
        <v>4</v>
      </c>
      <c r="J121" s="126">
        <v>5</v>
      </c>
      <c r="K121" s="126">
        <v>6</v>
      </c>
      <c r="L121" s="126">
        <v>7</v>
      </c>
      <c r="M121" s="126">
        <v>8</v>
      </c>
      <c r="N121" s="126">
        <v>9</v>
      </c>
      <c r="O121" s="126">
        <v>10</v>
      </c>
    </row>
    <row r="122" spans="1:15" ht="28.5" x14ac:dyDescent="0.25">
      <c r="A122" s="417" t="s">
        <v>625</v>
      </c>
      <c r="B122" s="236" t="s">
        <v>3</v>
      </c>
      <c r="C122" s="127" t="s">
        <v>12</v>
      </c>
      <c r="D122" s="199" t="str">
        <f>CONCATENATE("Итого ",F122,"-",O122)</f>
        <v>Итого 2025-2034</v>
      </c>
      <c r="E122" s="155"/>
      <c r="F122" s="127">
        <f>YEAR(Паспорт_ФМ_резидент!C36)</f>
        <v>2025</v>
      </c>
      <c r="G122" s="127">
        <f t="shared" ref="G122:O122" si="25">F122+1</f>
        <v>2026</v>
      </c>
      <c r="H122" s="127">
        <f t="shared" si="25"/>
        <v>2027</v>
      </c>
      <c r="I122" s="127">
        <f t="shared" si="25"/>
        <v>2028</v>
      </c>
      <c r="J122" s="127">
        <f t="shared" si="25"/>
        <v>2029</v>
      </c>
      <c r="K122" s="127">
        <f t="shared" si="25"/>
        <v>2030</v>
      </c>
      <c r="L122" s="127">
        <f t="shared" si="25"/>
        <v>2031</v>
      </c>
      <c r="M122" s="127">
        <f t="shared" si="25"/>
        <v>2032</v>
      </c>
      <c r="N122" s="127">
        <f t="shared" si="25"/>
        <v>2033</v>
      </c>
      <c r="O122" s="127">
        <f t="shared" si="25"/>
        <v>2034</v>
      </c>
    </row>
    <row r="123" spans="1:15" x14ac:dyDescent="0.25">
      <c r="A123" s="418"/>
      <c r="B123" s="264"/>
      <c r="C123" s="128"/>
      <c r="D123" s="128"/>
      <c r="E123" s="71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</row>
    <row r="124" spans="1:15" ht="30" x14ac:dyDescent="0.25">
      <c r="A124" s="211"/>
      <c r="B124" s="91" t="s">
        <v>85</v>
      </c>
      <c r="C124" s="270" t="s">
        <v>19</v>
      </c>
      <c r="D124" s="431">
        <v>0</v>
      </c>
      <c r="E124" s="71"/>
      <c r="F124" s="230">
        <v>0</v>
      </c>
      <c r="G124" s="230">
        <f t="shared" ref="G124:O124" ca="1" si="26">F177</f>
        <v>3577.8642666666638</v>
      </c>
      <c r="H124" s="230">
        <f t="shared" ca="1" si="26"/>
        <v>27970.645542399987</v>
      </c>
      <c r="I124" s="230">
        <f t="shared" ca="1" si="26"/>
        <v>1816.1782407605788</v>
      </c>
      <c r="J124" s="230">
        <f t="shared" ca="1" si="26"/>
        <v>40923.739838944792</v>
      </c>
      <c r="K124" s="230">
        <f t="shared" ca="1" si="26"/>
        <v>84329.494879428996</v>
      </c>
      <c r="L124" s="230">
        <f t="shared" ca="1" si="26"/>
        <v>132092.33306645125</v>
      </c>
      <c r="M124" s="230">
        <f t="shared" ca="1" si="26"/>
        <v>184467.71100819414</v>
      </c>
      <c r="N124" s="230">
        <f t="shared" ca="1" si="26"/>
        <v>241673.29237955395</v>
      </c>
      <c r="O124" s="230">
        <f t="shared" ca="1" si="26"/>
        <v>300269.86374829285</v>
      </c>
    </row>
    <row r="125" spans="1:15" x14ac:dyDescent="0.25">
      <c r="A125" s="419" t="s">
        <v>69</v>
      </c>
      <c r="B125" s="92"/>
      <c r="C125" s="429"/>
      <c r="D125" s="432"/>
      <c r="E125" s="71"/>
      <c r="F125" s="414"/>
      <c r="G125" s="414"/>
      <c r="H125" s="414"/>
      <c r="I125" s="414"/>
      <c r="J125" s="414"/>
      <c r="K125" s="414"/>
      <c r="L125" s="414"/>
      <c r="M125" s="414"/>
      <c r="N125" s="414"/>
      <c r="O125" s="414"/>
    </row>
    <row r="126" spans="1:15" x14ac:dyDescent="0.25">
      <c r="A126" s="420"/>
      <c r="B126" s="398" t="s">
        <v>72</v>
      </c>
      <c r="C126" s="270" t="s">
        <v>19</v>
      </c>
      <c r="D126" s="228">
        <f>SUM(D127:D128)</f>
        <v>1116288.2590691657</v>
      </c>
      <c r="E126" s="71"/>
      <c r="F126" s="228">
        <f t="shared" ref="F126:O126" si="27">SUM(F127:F128)</f>
        <v>0</v>
      </c>
      <c r="G126" s="228">
        <f t="shared" si="27"/>
        <v>0</v>
      </c>
      <c r="H126" s="228">
        <f t="shared" si="27"/>
        <v>46306</v>
      </c>
      <c r="I126" s="228">
        <f t="shared" si="27"/>
        <v>135478</v>
      </c>
      <c r="J126" s="228">
        <f t="shared" si="27"/>
        <v>140894.32000000004</v>
      </c>
      <c r="K126" s="228">
        <f t="shared" si="27"/>
        <v>146527.29280000002</v>
      </c>
      <c r="L126" s="228">
        <f t="shared" si="27"/>
        <v>152385.584512</v>
      </c>
      <c r="M126" s="228">
        <f t="shared" si="27"/>
        <v>158478.20789248002</v>
      </c>
      <c r="N126" s="228">
        <f t="shared" si="27"/>
        <v>164814.5362081792</v>
      </c>
      <c r="O126" s="228">
        <f t="shared" si="27"/>
        <v>171404.31765650638</v>
      </c>
    </row>
    <row r="127" spans="1:15" x14ac:dyDescent="0.25">
      <c r="A127" s="261" t="str" cm="1">
        <f t="array" aca="1" ref="A127" ca="1">HYPERLINK(CELL("адрес",Выручка!A46),"источник")</f>
        <v>источник</v>
      </c>
      <c r="B127" s="530" t="s">
        <v>67</v>
      </c>
      <c r="C127" s="270" t="s">
        <v>19</v>
      </c>
      <c r="D127" s="250">
        <f>SUM(F127:O127)</f>
        <v>1115728.2590691657</v>
      </c>
      <c r="E127" s="71"/>
      <c r="F127" s="230">
        <f>Выручка!F10*(1+$D$6)</f>
        <v>0</v>
      </c>
      <c r="G127" s="230">
        <f>Выручка!G10*(1+$D$6)</f>
        <v>0</v>
      </c>
      <c r="H127" s="230">
        <f>Выручка!H10*(1+$D$6)</f>
        <v>46236</v>
      </c>
      <c r="I127" s="230">
        <f>Выручка!I10*(1+$D$6)</f>
        <v>135408</v>
      </c>
      <c r="J127" s="230">
        <f>Выручка!J10*(1+$D$6)</f>
        <v>140824.32000000004</v>
      </c>
      <c r="K127" s="230">
        <f>Выручка!K10*(1+$D$6)</f>
        <v>146457.29280000002</v>
      </c>
      <c r="L127" s="230">
        <f>Выручка!L10*(1+$D$6)</f>
        <v>152315.584512</v>
      </c>
      <c r="M127" s="230">
        <f>Выручка!M10*(1+$D$6)</f>
        <v>158408.20789248002</v>
      </c>
      <c r="N127" s="230">
        <f>Выручка!N10*(1+$D$6)</f>
        <v>164744.5362081792</v>
      </c>
      <c r="O127" s="230">
        <f>Выручка!O10*(1+$D$6)</f>
        <v>171334.31765650638</v>
      </c>
    </row>
    <row r="128" spans="1:15" ht="30" x14ac:dyDescent="0.25">
      <c r="A128" s="261" t="str" cm="1">
        <f t="array" aca="1" ref="A128" ca="1">HYPERLINK(CELL("адрес",ПрочДоходы!A41),"источник")</f>
        <v>источник</v>
      </c>
      <c r="B128" s="530" t="s">
        <v>292</v>
      </c>
      <c r="C128" s="270" t="s">
        <v>19</v>
      </c>
      <c r="D128" s="250">
        <f>SUM(F128:O128)</f>
        <v>560</v>
      </c>
      <c r="E128" s="71"/>
      <c r="F128" s="230">
        <f>ПрочДоходы!F5</f>
        <v>0</v>
      </c>
      <c r="G128" s="230">
        <f>ПрочДоходы!G5</f>
        <v>0</v>
      </c>
      <c r="H128" s="230">
        <f>ПрочДоходы!H5</f>
        <v>70</v>
      </c>
      <c r="I128" s="230">
        <f>ПрочДоходы!I5</f>
        <v>70</v>
      </c>
      <c r="J128" s="230">
        <f>ПрочДоходы!J5</f>
        <v>70</v>
      </c>
      <c r="K128" s="230">
        <f>ПрочДоходы!K5</f>
        <v>70</v>
      </c>
      <c r="L128" s="230">
        <f>ПрочДоходы!L5</f>
        <v>70</v>
      </c>
      <c r="M128" s="230">
        <f>ПрочДоходы!M5</f>
        <v>70</v>
      </c>
      <c r="N128" s="230">
        <f>ПрочДоходы!N5</f>
        <v>70</v>
      </c>
      <c r="O128" s="230">
        <f>ПрочДоходы!O5</f>
        <v>70</v>
      </c>
    </row>
    <row r="129" spans="1:43" x14ac:dyDescent="0.25">
      <c r="A129" s="421"/>
      <c r="B129" s="531"/>
      <c r="C129" s="270" t="s">
        <v>19</v>
      </c>
      <c r="D129" s="433"/>
      <c r="E129" s="71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</row>
    <row r="130" spans="1:43" x14ac:dyDescent="0.25">
      <c r="A130" s="420"/>
      <c r="B130" s="398" t="s">
        <v>73</v>
      </c>
      <c r="C130" s="270" t="s">
        <v>19</v>
      </c>
      <c r="D130" s="228">
        <f ca="1">SUM(D131:D145)</f>
        <v>-707542.58743942669</v>
      </c>
      <c r="E130" s="71"/>
      <c r="F130" s="228">
        <f ca="1">SUM(F131:F145)</f>
        <v>-8088.8023999999996</v>
      </c>
      <c r="G130" s="228">
        <f t="shared" ref="G130:O130" ca="1" si="28">SUM(G131:G145)</f>
        <v>-13940.552057599998</v>
      </c>
      <c r="H130" s="228">
        <f t="shared" ca="1" si="28"/>
        <v>-60585.467301639401</v>
      </c>
      <c r="I130" s="228">
        <f t="shared" ca="1" si="28"/>
        <v>-84495.438401815787</v>
      </c>
      <c r="J130" s="228">
        <f t="shared" ca="1" si="28"/>
        <v>-85613.564959515817</v>
      </c>
      <c r="K130" s="228">
        <f t="shared" ca="1" si="28"/>
        <v>-86889.454612977788</v>
      </c>
      <c r="L130" s="228">
        <f t="shared" ca="1" si="28"/>
        <v>-88135.206570257069</v>
      </c>
      <c r="M130" s="228">
        <f t="shared" ca="1" si="28"/>
        <v>-89397.626521120212</v>
      </c>
      <c r="N130" s="228">
        <f t="shared" ca="1" si="28"/>
        <v>-94342.964839440319</v>
      </c>
      <c r="O130" s="228">
        <f t="shared" ca="1" si="28"/>
        <v>-96053.509775060375</v>
      </c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</row>
    <row r="131" spans="1:43" x14ac:dyDescent="0.25">
      <c r="A131" s="261" t="str" cm="1">
        <f t="array" aca="1" ref="A131" ca="1">HYPERLINK(CELL("адрес",Себестоимость!A43),"источник")</f>
        <v>источник</v>
      </c>
      <c r="B131" s="530" t="s">
        <v>257</v>
      </c>
      <c r="C131" s="270" t="s">
        <v>19</v>
      </c>
      <c r="D131" s="250">
        <f t="shared" ref="D131:D137" si="29">SUM(F131:O131)</f>
        <v>-48993.94325835941</v>
      </c>
      <c r="E131" s="71"/>
      <c r="F131" s="230">
        <f>-Себестоимость!F9*(1+$D$7)</f>
        <v>0</v>
      </c>
      <c r="G131" s="230">
        <f>-Себестоимость!G9*(1+$D$7)</f>
        <v>0</v>
      </c>
      <c r="H131" s="230">
        <f>-Себестоимость!H9*(1+$D$7)</f>
        <v>-1680</v>
      </c>
      <c r="I131" s="230">
        <f>-Себестоимость!I9*(1+$D$7)</f>
        <v>-5990.4000000000015</v>
      </c>
      <c r="J131" s="230">
        <f>-Себестоимость!J9*(1+$D$7)</f>
        <v>-6230.0160000000014</v>
      </c>
      <c r="K131" s="230">
        <f>-Себестоимость!K9*(1+$D$7)</f>
        <v>-6479.2166400000024</v>
      </c>
      <c r="L131" s="230">
        <f>-Себестоимость!L9*(1+$D$7)</f>
        <v>-6738.3853056000016</v>
      </c>
      <c r="M131" s="230">
        <f>-Себестоимость!M9*(1+$D$7)</f>
        <v>-7007.9207178240013</v>
      </c>
      <c r="N131" s="230">
        <f>-Себестоимость!N9*(1+$D$7)</f>
        <v>-7288.2375465369614</v>
      </c>
      <c r="O131" s="230">
        <f>-Себестоимость!O9*(1+$D$7)</f>
        <v>-7579.7670483984411</v>
      </c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</row>
    <row r="132" spans="1:43" x14ac:dyDescent="0.25">
      <c r="A132" s="261" t="str" cm="1">
        <f t="array" aca="1" ref="A132" ca="1">HYPERLINK(CELL("адрес",Ресурсы!A46),"источник")</f>
        <v>источник</v>
      </c>
      <c r="B132" s="530" t="s">
        <v>266</v>
      </c>
      <c r="C132" s="270" t="s">
        <v>19</v>
      </c>
      <c r="D132" s="250">
        <f t="shared" si="29"/>
        <v>-153287.48230307098</v>
      </c>
      <c r="E132" s="71"/>
      <c r="F132" s="230">
        <f>-Ресурсы!F7*(1+$D$7)</f>
        <v>-5622</v>
      </c>
      <c r="G132" s="230">
        <f>-Ресурсы!G7*(1+$D$7)</f>
        <v>-5858.16</v>
      </c>
      <c r="H132" s="230">
        <f>-Ресурсы!H7*(1+$D$7)</f>
        <v>-11348.431499999999</v>
      </c>
      <c r="I132" s="230">
        <f>-Ресурсы!I7*(1+$D$7)</f>
        <v>-16989.627464999998</v>
      </c>
      <c r="J132" s="230">
        <f>-Ресурсы!J7*(1+$D$7)</f>
        <v>-17547.627220424998</v>
      </c>
      <c r="K132" s="230">
        <f>-Ресурсы!K7*(1+$D$7)</f>
        <v>-18124.907332487623</v>
      </c>
      <c r="L132" s="230">
        <f>-Ресурсы!L7*(1+$D$7)</f>
        <v>-18637.002623831733</v>
      </c>
      <c r="M132" s="230">
        <f>-Ресурсы!M7*(1+$D$7)</f>
        <v>-19166.388211800288</v>
      </c>
      <c r="N132" s="230">
        <f>-Ресурсы!N7*(1+$D$7)</f>
        <v>-19713.707805532806</v>
      </c>
      <c r="O132" s="230">
        <f>-Ресурсы!O7*(1+$D$7)</f>
        <v>-20279.630143993534</v>
      </c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</row>
    <row r="133" spans="1:43" x14ac:dyDescent="0.25">
      <c r="A133" s="261" t="str" cm="1">
        <f t="array" aca="1" ref="A133" ca="1">HYPERLINK(CELL("адрес",Персонал!A90),"источник")</f>
        <v>источник</v>
      </c>
      <c r="B133" s="530" t="s">
        <v>158</v>
      </c>
      <c r="C133" s="270" t="s">
        <v>19</v>
      </c>
      <c r="D133" s="250">
        <f t="shared" si="29"/>
        <v>-228233.12930940738</v>
      </c>
      <c r="E133" s="71"/>
      <c r="F133" s="230">
        <f>-Персонал!F56*(1+$D$7)</f>
        <v>-2505.6</v>
      </c>
      <c r="G133" s="230">
        <f>-Персонал!G56*(1+$D$7)</f>
        <v>-2565.7343999999998</v>
      </c>
      <c r="H133" s="230">
        <f>-Персонал!H56*(1+$D$7)</f>
        <v>-25397.349580800004</v>
      </c>
      <c r="I133" s="230">
        <f>-Персонал!I56*(1+$D$7)</f>
        <v>-26083.0780194816</v>
      </c>
      <c r="J133" s="230">
        <f>-Персонал!J56*(1+$D$7)</f>
        <v>-26787.321126007602</v>
      </c>
      <c r="K133" s="230">
        <f>-Персонал!K56*(1+$D$7)</f>
        <v>-27510.578796409805</v>
      </c>
      <c r="L133" s="230">
        <f>-Персонал!L56*(1+$D$7)</f>
        <v>-28225.853845116457</v>
      </c>
      <c r="M133" s="230">
        <f>-Персонал!M56*(1+$D$7)</f>
        <v>-28959.72604508949</v>
      </c>
      <c r="N133" s="230">
        <f>-Персонал!N56*(1+$D$7)</f>
        <v>-29712.678922261817</v>
      </c>
      <c r="O133" s="230">
        <f>-Персонал!O56*(1+$D$7)</f>
        <v>-30485.208574240616</v>
      </c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</row>
    <row r="134" spans="1:43" x14ac:dyDescent="0.25">
      <c r="A134" s="261" t="str" cm="1">
        <f t="array" aca="1" ref="A134" ca="1">HYPERLINK(CELL("адрес",Персонал!A65),"источник")</f>
        <v>источник</v>
      </c>
      <c r="B134" s="530" t="s">
        <v>157</v>
      </c>
      <c r="C134" s="270" t="s">
        <v>19</v>
      </c>
      <c r="D134" s="250">
        <f t="shared" si="29"/>
        <v>-19937.606698293057</v>
      </c>
      <c r="E134" s="71"/>
      <c r="F134" s="230">
        <f>-Персонал!F38*(1+$D$7)</f>
        <v>-218.88</v>
      </c>
      <c r="G134" s="230">
        <f>-Персонал!G38*(1+$D$7)</f>
        <v>-224.13311999999999</v>
      </c>
      <c r="H134" s="230">
        <f>-Персонал!H38*(1+$D$7)</f>
        <v>-2218.6190438399999</v>
      </c>
      <c r="I134" s="230">
        <f>-Персонал!I38*(1+$D$7)</f>
        <v>-2278.5217580236799</v>
      </c>
      <c r="J134" s="230">
        <f>-Персонал!J38*(1+$D$7)</f>
        <v>-2340.0418454903192</v>
      </c>
      <c r="K134" s="230">
        <f>-Персонал!K38*(1+$D$7)</f>
        <v>-2403.2229753185575</v>
      </c>
      <c r="L134" s="230">
        <f>-Персонал!L38*(1+$D$7)</f>
        <v>-2465.70677267684</v>
      </c>
      <c r="M134" s="230">
        <f>-Персонал!M38*(1+$D$7)</f>
        <v>-2529.8151487664381</v>
      </c>
      <c r="N134" s="230">
        <f>-Персонал!N38*(1+$D$7)</f>
        <v>-2595.5903426343657</v>
      </c>
      <c r="O134" s="230">
        <f>-Персонал!O38*(1+$D$7)</f>
        <v>-2663.0756915428587</v>
      </c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</row>
    <row r="135" spans="1:43" x14ac:dyDescent="0.25">
      <c r="A135" s="261" t="str" cm="1">
        <f t="array" aca="1" ref="A135" ca="1">HYPERLINK(CELL("адрес",Персонал!A85),"источник")</f>
        <v>источник</v>
      </c>
      <c r="B135" s="530" t="s">
        <v>68</v>
      </c>
      <c r="C135" s="270" t="s">
        <v>19</v>
      </c>
      <c r="D135" s="250">
        <f t="shared" si="29"/>
        <v>-34103.80093129076</v>
      </c>
      <c r="E135" s="71"/>
      <c r="F135" s="230">
        <f>-Персонал!F51*(1+$D$7)</f>
        <v>-374.40000000000003</v>
      </c>
      <c r="G135" s="230">
        <f>-Персонал!G51*(1+$D$7)</f>
        <v>-383.38559999999995</v>
      </c>
      <c r="H135" s="230">
        <f>-Персонал!H51*(1+$D$7)</f>
        <v>-3795.0062592000004</v>
      </c>
      <c r="I135" s="230">
        <f>-Персонал!I51*(1+$D$7)</f>
        <v>-3897.4714281984002</v>
      </c>
      <c r="J135" s="230">
        <f>-Персонал!J51*(1+$D$7)</f>
        <v>-4002.7031567597564</v>
      </c>
      <c r="K135" s="230">
        <f>-Персонал!K51*(1+$D$7)</f>
        <v>-4110.776141992269</v>
      </c>
      <c r="L135" s="230">
        <f>-Персонал!L51*(1+$D$7)</f>
        <v>-4217.6563216840677</v>
      </c>
      <c r="M135" s="230">
        <f>-Персонал!M51*(1+$D$7)</f>
        <v>-4327.3153860478551</v>
      </c>
      <c r="N135" s="230">
        <f>-Персонал!N51*(1+$D$7)</f>
        <v>-4439.8255860850986</v>
      </c>
      <c r="O135" s="230">
        <f>-Персонал!O51*(1+$D$7)</f>
        <v>-4555.2610513233112</v>
      </c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</row>
    <row r="136" spans="1:43" x14ac:dyDescent="0.25">
      <c r="A136" s="261" t="str" cm="1">
        <f t="array" aca="1" ref="A136" ca="1">HYPERLINK(CELL("адрес",ОбщПрРасходы!A48),"источник")</f>
        <v>источник</v>
      </c>
      <c r="B136" s="530" t="s">
        <v>281</v>
      </c>
      <c r="C136" s="270" t="s">
        <v>19</v>
      </c>
      <c r="D136" s="250">
        <f t="shared" si="29"/>
        <v>-3600</v>
      </c>
      <c r="E136" s="71"/>
      <c r="F136" s="230">
        <f>-ОбщПрРасходы!F12*(1+$D$7)</f>
        <v>-360</v>
      </c>
      <c r="G136" s="230">
        <f>-ОбщПрРасходы!G12*(1+$D$7)</f>
        <v>-360</v>
      </c>
      <c r="H136" s="230">
        <f>-ОбщПрРасходы!H12*(1+$D$7)</f>
        <v>-360</v>
      </c>
      <c r="I136" s="230">
        <f>-ОбщПрРасходы!I12*(1+$D$7)</f>
        <v>-360</v>
      </c>
      <c r="J136" s="230">
        <f>-ОбщПрРасходы!J12*(1+$D$7)</f>
        <v>-360</v>
      </c>
      <c r="K136" s="230">
        <f>-ОбщПрРасходы!K12*(1+$D$7)</f>
        <v>-360</v>
      </c>
      <c r="L136" s="230">
        <f>-ОбщПрРасходы!L12*(1+$D$7)</f>
        <v>-360</v>
      </c>
      <c r="M136" s="230">
        <f>-ОбщПрРасходы!M12*(1+$D$7)</f>
        <v>-360</v>
      </c>
      <c r="N136" s="230">
        <f>-ОбщПрРасходы!N12*(1+$D$7)</f>
        <v>-360</v>
      </c>
      <c r="O136" s="230">
        <f>-ОбщПрРасходы!O12*(1+$D$7)</f>
        <v>-360</v>
      </c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</row>
    <row r="137" spans="1:43" ht="30" x14ac:dyDescent="0.25">
      <c r="A137" s="261" t="str" cm="1">
        <f t="array" aca="1" ref="A137" ca="1">HYPERLINK(CELL("адрес",АдмРасходы!A48),"источник")</f>
        <v>источник</v>
      </c>
      <c r="B137" s="530" t="s">
        <v>483</v>
      </c>
      <c r="C137" s="270" t="s">
        <v>19</v>
      </c>
      <c r="D137" s="250">
        <f t="shared" si="29"/>
        <v>-1800</v>
      </c>
      <c r="E137" s="71"/>
      <c r="F137" s="230">
        <f>-АдмРасходы!F12*(1+$D$7)</f>
        <v>-180</v>
      </c>
      <c r="G137" s="230">
        <f>-АдмРасходы!G12*(1+$D$7)</f>
        <v>-180</v>
      </c>
      <c r="H137" s="230">
        <f>-АдмРасходы!H12*(1+$D$7)</f>
        <v>-180</v>
      </c>
      <c r="I137" s="230">
        <f>-АдмРасходы!I12*(1+$D$7)</f>
        <v>-180</v>
      </c>
      <c r="J137" s="230">
        <f>-АдмРасходы!J12*(1+$D$7)</f>
        <v>-180</v>
      </c>
      <c r="K137" s="230">
        <f>-АдмРасходы!K12*(1+$D$7)</f>
        <v>-180</v>
      </c>
      <c r="L137" s="230">
        <f>-АдмРасходы!L12*(1+$D$7)</f>
        <v>-180</v>
      </c>
      <c r="M137" s="230">
        <f>-АдмРасходы!M12*(1+$D$7)</f>
        <v>-180</v>
      </c>
      <c r="N137" s="230">
        <f>-АдмРасходы!N12*(1+$D$7)</f>
        <v>-180</v>
      </c>
      <c r="O137" s="230">
        <f>-АдмРасходы!O12*(1+$D$7)</f>
        <v>-180</v>
      </c>
      <c r="P137" s="71"/>
      <c r="Q137" s="71"/>
      <c r="R137" s="71"/>
      <c r="S137" s="71"/>
      <c r="T137" s="124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</row>
    <row r="138" spans="1:43" x14ac:dyDescent="0.25">
      <c r="A138" s="421"/>
      <c r="B138" s="530"/>
      <c r="C138" s="270"/>
      <c r="D138" s="250"/>
      <c r="E138" s="71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71"/>
      <c r="Q138" s="71"/>
      <c r="R138" s="71"/>
      <c r="S138" s="71"/>
      <c r="T138" s="124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</row>
    <row r="139" spans="1:43" ht="30" x14ac:dyDescent="0.25">
      <c r="A139" s="421"/>
      <c r="B139" s="532" t="s">
        <v>714</v>
      </c>
      <c r="C139" s="270" t="s">
        <v>19</v>
      </c>
      <c r="D139" s="250">
        <f t="shared" ref="D139:D144" si="30">SUM(F139:O139)</f>
        <v>-151341.13891795586</v>
      </c>
      <c r="E139" s="71"/>
      <c r="F139" s="230">
        <f>-(F89*0.2)-((F91+F92+F95+F100)*0.2)</f>
        <v>1027</v>
      </c>
      <c r="G139" s="230">
        <f t="shared" ref="G139:O139" si="31">-(G89*0.2)-((G91+G92+G95+G100)*0.2)</f>
        <v>1066.3600000000001</v>
      </c>
      <c r="H139" s="230">
        <f t="shared" si="31"/>
        <v>-5444.5947500000002</v>
      </c>
      <c r="I139" s="230">
        <f t="shared" si="31"/>
        <v>-18647.9954225</v>
      </c>
      <c r="J139" s="230">
        <f t="shared" si="31"/>
        <v>-19417.779463262505</v>
      </c>
      <c r="K139" s="230">
        <f t="shared" si="31"/>
        <v>-20218.861471252065</v>
      </c>
      <c r="L139" s="230">
        <f t="shared" si="31"/>
        <v>-21066.699430428045</v>
      </c>
      <c r="M139" s="230">
        <f t="shared" si="31"/>
        <v>-21948.983160475953</v>
      </c>
      <c r="N139" s="230">
        <f t="shared" si="31"/>
        <v>-22867.098476018244</v>
      </c>
      <c r="O139" s="230">
        <f t="shared" si="31"/>
        <v>-23822.486744019072</v>
      </c>
      <c r="P139" s="71"/>
      <c r="Q139" s="71"/>
      <c r="R139" s="71"/>
      <c r="S139" s="71"/>
      <c r="T139" s="124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</row>
    <row r="140" spans="1:43" ht="30" x14ac:dyDescent="0.25">
      <c r="A140" s="261" t="str" cm="1">
        <f t="array" aca="1" ref="A140" ca="1">HYPERLINK(CELL("адрес",НалИмущество!A55),"источник")</f>
        <v>источник</v>
      </c>
      <c r="B140" s="530" t="s">
        <v>484</v>
      </c>
      <c r="C140" s="270" t="s">
        <v>19</v>
      </c>
      <c r="D140" s="250">
        <f t="shared" si="30"/>
        <v>0</v>
      </c>
      <c r="E140" s="71"/>
      <c r="F140" s="230">
        <f>-НалИмущество!F19</f>
        <v>0</v>
      </c>
      <c r="G140" s="230">
        <f>-НалИмущество!G19</f>
        <v>0</v>
      </c>
      <c r="H140" s="230">
        <f>-НалИмущество!H19</f>
        <v>0</v>
      </c>
      <c r="I140" s="230">
        <f>-НалИмущество!I19</f>
        <v>0</v>
      </c>
      <c r="J140" s="230">
        <f>-НалИмущество!J19</f>
        <v>0</v>
      </c>
      <c r="K140" s="230">
        <f>-НалИмущество!K19</f>
        <v>0</v>
      </c>
      <c r="L140" s="230">
        <f>-НалИмущество!L19</f>
        <v>0</v>
      </c>
      <c r="M140" s="230">
        <f>-НалИмущество!M19</f>
        <v>0</v>
      </c>
      <c r="N140" s="230">
        <f>-НалИмущество!N19</f>
        <v>0</v>
      </c>
      <c r="O140" s="230">
        <f>-НалИмущество!O19</f>
        <v>0</v>
      </c>
      <c r="P140" s="71"/>
      <c r="Q140" s="71"/>
      <c r="R140" s="71"/>
      <c r="S140" s="71"/>
      <c r="T140" s="124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</row>
    <row r="141" spans="1:43" ht="30" x14ac:dyDescent="0.25">
      <c r="A141" s="226"/>
      <c r="B141" s="532" t="s">
        <v>715</v>
      </c>
      <c r="C141" s="270" t="s">
        <v>19</v>
      </c>
      <c r="D141" s="250">
        <f t="shared" ca="1" si="30"/>
        <v>-14745.486021049261</v>
      </c>
      <c r="E141" s="71"/>
      <c r="F141" s="230">
        <f t="shared" ref="F141:O141" ca="1" si="32">F111</f>
        <v>165.07760000000002</v>
      </c>
      <c r="G141" s="230">
        <f t="shared" ca="1" si="32"/>
        <v>284.50106240000002</v>
      </c>
      <c r="H141" s="230">
        <f t="shared" ca="1" si="32"/>
        <v>546.0338322006096</v>
      </c>
      <c r="I141" s="230">
        <f t="shared" ca="1" si="32"/>
        <v>-785.84430861211706</v>
      </c>
      <c r="J141" s="230">
        <f t="shared" ca="1" si="32"/>
        <v>-890.57614757062049</v>
      </c>
      <c r="K141" s="230">
        <f t="shared" ca="1" si="32"/>
        <v>-1069.3912555174609</v>
      </c>
      <c r="L141" s="230">
        <f t="shared" ca="1" si="32"/>
        <v>-1236.4022709199239</v>
      </c>
      <c r="M141" s="230">
        <f t="shared" ca="1" si="32"/>
        <v>-1334.9778511161865</v>
      </c>
      <c r="N141" s="230">
        <f t="shared" ca="1" si="32"/>
        <v>-5028.326160371028</v>
      </c>
      <c r="O141" s="230">
        <f t="shared" ca="1" si="32"/>
        <v>-5395.5805215425335</v>
      </c>
      <c r="P141" s="71"/>
      <c r="Q141" s="71"/>
      <c r="R141" s="71"/>
      <c r="S141" s="71"/>
      <c r="T141" s="124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</row>
    <row r="142" spans="1:43" ht="30" x14ac:dyDescent="0.25">
      <c r="A142" s="421"/>
      <c r="B142" s="530" t="s">
        <v>359</v>
      </c>
      <c r="C142" s="270" t="s">
        <v>19</v>
      </c>
      <c r="D142" s="250">
        <f t="shared" si="30"/>
        <v>0</v>
      </c>
      <c r="E142" s="71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71"/>
      <c r="Q142" s="71"/>
      <c r="R142" s="71"/>
      <c r="S142" s="71"/>
      <c r="T142" s="124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</row>
    <row r="143" spans="1:43" x14ac:dyDescent="0.25">
      <c r="A143" s="261" t="str" cm="1">
        <f t="array" aca="1" ref="A143" ca="1">HYPERLINK(CELL("адрес",ПрочРасходы!A41),"источник")</f>
        <v>источник</v>
      </c>
      <c r="B143" s="530" t="s">
        <v>293</v>
      </c>
      <c r="C143" s="270" t="s">
        <v>19</v>
      </c>
      <c r="D143" s="250">
        <f t="shared" si="30"/>
        <v>-200</v>
      </c>
      <c r="E143" s="71"/>
      <c r="F143" s="230">
        <f>-ПрочРасходы!F5*(1+$D$7)</f>
        <v>-20</v>
      </c>
      <c r="G143" s="230">
        <f>-ПрочРасходы!G5*(1+$D$7)</f>
        <v>-20</v>
      </c>
      <c r="H143" s="230">
        <f>-ПрочРасходы!H5*(1+$D$7)</f>
        <v>-20</v>
      </c>
      <c r="I143" s="230">
        <f>-ПрочРасходы!I5*(1+$D$7)</f>
        <v>-20</v>
      </c>
      <c r="J143" s="230">
        <f>-ПрочРасходы!J5*(1+$D$7)</f>
        <v>-20</v>
      </c>
      <c r="K143" s="230">
        <f>-ПрочРасходы!K5*(1+$D$7)</f>
        <v>-20</v>
      </c>
      <c r="L143" s="230">
        <f>-ПрочРасходы!L5*(1+$D$7)</f>
        <v>-20</v>
      </c>
      <c r="M143" s="230">
        <f>-ПрочРасходы!M5*(1+$D$7)</f>
        <v>-20</v>
      </c>
      <c r="N143" s="230">
        <f>-ПрочРасходы!N5*(1+$D$7)</f>
        <v>-20</v>
      </c>
      <c r="O143" s="230">
        <f>-ПрочРасходы!O5*(1+$D$7)</f>
        <v>-20</v>
      </c>
      <c r="P143" s="71"/>
      <c r="Q143" s="71"/>
      <c r="R143" s="71"/>
      <c r="S143" s="71"/>
      <c r="T143" s="124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</row>
    <row r="144" spans="1:43" s="6" customFormat="1" ht="45" x14ac:dyDescent="0.25">
      <c r="A144" s="226" t="s">
        <v>349</v>
      </c>
      <c r="B144" s="532" t="s">
        <v>716</v>
      </c>
      <c r="C144" s="270" t="s">
        <v>19</v>
      </c>
      <c r="D144" s="250">
        <f t="shared" ca="1" si="30"/>
        <v>-51300</v>
      </c>
      <c r="E144" s="71"/>
      <c r="F144" s="230">
        <f t="shared" ref="F144:O144" ca="1" si="33">-F188</f>
        <v>0</v>
      </c>
      <c r="G144" s="230">
        <f t="shared" ca="1" si="33"/>
        <v>-5700</v>
      </c>
      <c r="H144" s="230">
        <f t="shared" ca="1" si="33"/>
        <v>-10687.5</v>
      </c>
      <c r="I144" s="230">
        <f t="shared" ca="1" si="33"/>
        <v>-9262.5</v>
      </c>
      <c r="J144" s="230">
        <f t="shared" ca="1" si="33"/>
        <v>-7837.5</v>
      </c>
      <c r="K144" s="230">
        <f t="shared" ca="1" si="33"/>
        <v>-6412.5</v>
      </c>
      <c r="L144" s="230">
        <f t="shared" ca="1" si="33"/>
        <v>-4987.5</v>
      </c>
      <c r="M144" s="230">
        <f t="shared" ca="1" si="33"/>
        <v>-3562.5</v>
      </c>
      <c r="N144" s="230">
        <f t="shared" ca="1" si="33"/>
        <v>-2137.5</v>
      </c>
      <c r="O144" s="230">
        <f t="shared" ca="1" si="33"/>
        <v>-712.5</v>
      </c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</row>
    <row r="145" spans="1:20" x14ac:dyDescent="0.25">
      <c r="A145" s="261"/>
      <c r="B145" s="530"/>
      <c r="C145" s="270"/>
      <c r="D145" s="250"/>
      <c r="E145" s="71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71"/>
      <c r="Q145" s="71"/>
      <c r="R145" s="71"/>
      <c r="S145" s="71"/>
      <c r="T145" s="124"/>
    </row>
    <row r="146" spans="1:20" ht="28.5" x14ac:dyDescent="0.25">
      <c r="A146" s="420"/>
      <c r="B146" s="398" t="s">
        <v>70</v>
      </c>
      <c r="C146" s="270" t="s">
        <v>19</v>
      </c>
      <c r="D146" s="228">
        <f ca="1">D126+D130</f>
        <v>408745.67162973899</v>
      </c>
      <c r="E146" s="71"/>
      <c r="F146" s="228">
        <f t="shared" ref="F146:O146" ca="1" si="34">F126+F130</f>
        <v>-8088.8023999999996</v>
      </c>
      <c r="G146" s="228">
        <f t="shared" ca="1" si="34"/>
        <v>-13940.552057599998</v>
      </c>
      <c r="H146" s="228">
        <f t="shared" ca="1" si="34"/>
        <v>-14279.467301639401</v>
      </c>
      <c r="I146" s="228">
        <f t="shared" ca="1" si="34"/>
        <v>50982.561598184213</v>
      </c>
      <c r="J146" s="228">
        <f t="shared" ca="1" si="34"/>
        <v>55280.755040484219</v>
      </c>
      <c r="K146" s="228">
        <f t="shared" ca="1" si="34"/>
        <v>59637.838187022237</v>
      </c>
      <c r="L146" s="228">
        <f t="shared" ca="1" si="34"/>
        <v>64250.377941742932</v>
      </c>
      <c r="M146" s="228">
        <f t="shared" ca="1" si="34"/>
        <v>69080.581371359804</v>
      </c>
      <c r="N146" s="228">
        <f t="shared" ca="1" si="34"/>
        <v>70471.571368738878</v>
      </c>
      <c r="O146" s="228">
        <f t="shared" ca="1" si="34"/>
        <v>75350.807881446002</v>
      </c>
      <c r="P146" s="71"/>
      <c r="Q146" s="71"/>
      <c r="R146" s="71"/>
      <c r="S146" s="71"/>
      <c r="T146" s="124"/>
    </row>
    <row r="147" spans="1:20" x14ac:dyDescent="0.25">
      <c r="A147" s="420"/>
      <c r="B147" s="398"/>
      <c r="C147" s="407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124"/>
    </row>
    <row r="148" spans="1:20" x14ac:dyDescent="0.25">
      <c r="A148" s="419" t="s">
        <v>71</v>
      </c>
      <c r="B148" s="92"/>
      <c r="C148" s="429"/>
      <c r="D148" s="432"/>
      <c r="E148" s="71"/>
      <c r="F148" s="414"/>
      <c r="G148" s="414"/>
      <c r="H148" s="414"/>
      <c r="I148" s="414"/>
      <c r="J148" s="414"/>
      <c r="K148" s="414"/>
      <c r="L148" s="414"/>
      <c r="M148" s="414"/>
      <c r="N148" s="414"/>
      <c r="O148" s="414"/>
      <c r="P148" s="71"/>
      <c r="Q148" s="71"/>
      <c r="R148" s="71"/>
      <c r="S148" s="71"/>
      <c r="T148" s="124"/>
    </row>
    <row r="149" spans="1:20" x14ac:dyDescent="0.25">
      <c r="A149" s="420"/>
      <c r="B149" s="398" t="s">
        <v>72</v>
      </c>
      <c r="C149" s="270" t="s">
        <v>19</v>
      </c>
      <c r="D149" s="228">
        <f>SUM(D150:D151)</f>
        <v>15000.000000000002</v>
      </c>
      <c r="E149" s="71"/>
      <c r="F149" s="228">
        <f t="shared" ref="F149:O149" si="35">SUM(F150:F151)</f>
        <v>3666.6666666666674</v>
      </c>
      <c r="G149" s="228">
        <f t="shared" si="35"/>
        <v>11333.333333333334</v>
      </c>
      <c r="H149" s="228">
        <f t="shared" si="35"/>
        <v>0</v>
      </c>
      <c r="I149" s="228">
        <f t="shared" si="35"/>
        <v>0</v>
      </c>
      <c r="J149" s="228">
        <f t="shared" si="35"/>
        <v>0</v>
      </c>
      <c r="K149" s="228">
        <f t="shared" si="35"/>
        <v>0</v>
      </c>
      <c r="L149" s="228">
        <f t="shared" si="35"/>
        <v>0</v>
      </c>
      <c r="M149" s="228">
        <f t="shared" si="35"/>
        <v>0</v>
      </c>
      <c r="N149" s="228">
        <f t="shared" si="35"/>
        <v>0</v>
      </c>
      <c r="O149" s="228">
        <f t="shared" si="35"/>
        <v>0</v>
      </c>
      <c r="P149" s="71"/>
      <c r="Q149" s="71"/>
      <c r="R149" s="71"/>
      <c r="S149" s="71"/>
      <c r="T149" s="124"/>
    </row>
    <row r="150" spans="1:20" x14ac:dyDescent="0.25">
      <c r="A150" s="421"/>
      <c r="B150" s="530" t="s">
        <v>75</v>
      </c>
      <c r="C150" s="270" t="s">
        <v>19</v>
      </c>
      <c r="D150" s="250">
        <f>SUM(F150:O150)</f>
        <v>0</v>
      </c>
      <c r="E150" s="71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71"/>
      <c r="Q150" s="71"/>
      <c r="R150" s="71"/>
      <c r="S150" s="71"/>
      <c r="T150" s="124"/>
    </row>
    <row r="151" spans="1:20" ht="30" x14ac:dyDescent="0.25">
      <c r="A151" s="261" t="str" cm="1">
        <f t="array" aca="1" ref="A151" ca="1">HYPERLINK(CELL("адрес",Инвестиции!A44),"источник")</f>
        <v>источник</v>
      </c>
      <c r="B151" s="530" t="s">
        <v>77</v>
      </c>
      <c r="C151" s="270" t="s">
        <v>19</v>
      </c>
      <c r="D151" s="250">
        <f>SUM(F151:O151)</f>
        <v>15000.000000000002</v>
      </c>
      <c r="E151" s="71"/>
      <c r="F151" s="230">
        <f>Инвестиции!F8</f>
        <v>3666.6666666666674</v>
      </c>
      <c r="G151" s="230">
        <f>Инвестиции!G8</f>
        <v>11333.333333333334</v>
      </c>
      <c r="H151" s="230">
        <f>Инвестиции!H8</f>
        <v>0</v>
      </c>
      <c r="I151" s="230">
        <f>Инвестиции!I8</f>
        <v>0</v>
      </c>
      <c r="J151" s="230">
        <f>Инвестиции!J8</f>
        <v>0</v>
      </c>
      <c r="K151" s="230">
        <f>Инвестиции!K8</f>
        <v>0</v>
      </c>
      <c r="L151" s="230">
        <f>Инвестиции!L8</f>
        <v>0</v>
      </c>
      <c r="M151" s="230">
        <f>Инвестиции!M8</f>
        <v>0</v>
      </c>
      <c r="N151" s="230">
        <f>Инвестиции!N8</f>
        <v>0</v>
      </c>
      <c r="O151" s="230">
        <f>Инвестиции!O8</f>
        <v>0</v>
      </c>
      <c r="P151" s="71"/>
      <c r="Q151" s="71"/>
      <c r="R151" s="71"/>
      <c r="S151" s="71"/>
      <c r="T151" s="124"/>
    </row>
    <row r="152" spans="1:20" x14ac:dyDescent="0.25">
      <c r="A152" s="421"/>
      <c r="B152" s="531"/>
      <c r="C152" s="270" t="s">
        <v>19</v>
      </c>
      <c r="D152" s="433"/>
      <c r="E152" s="71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71"/>
      <c r="Q152" s="71"/>
      <c r="R152" s="71"/>
      <c r="S152" s="71"/>
      <c r="T152" s="71"/>
    </row>
    <row r="153" spans="1:20" x14ac:dyDescent="0.25">
      <c r="A153" s="420"/>
      <c r="B153" s="398" t="s">
        <v>73</v>
      </c>
      <c r="C153" s="270" t="s">
        <v>19</v>
      </c>
      <c r="D153" s="228">
        <f>SUM(D154:D155)</f>
        <v>-90000</v>
      </c>
      <c r="E153" s="71"/>
      <c r="F153" s="228">
        <f t="shared" ref="F153:O153" si="36">SUM(F154:F155)</f>
        <v>-22000</v>
      </c>
      <c r="G153" s="228">
        <f t="shared" si="36"/>
        <v>-68000</v>
      </c>
      <c r="H153" s="228">
        <f t="shared" si="36"/>
        <v>0</v>
      </c>
      <c r="I153" s="228">
        <f t="shared" si="36"/>
        <v>0</v>
      </c>
      <c r="J153" s="228">
        <f t="shared" si="36"/>
        <v>0</v>
      </c>
      <c r="K153" s="228">
        <f t="shared" si="36"/>
        <v>0</v>
      </c>
      <c r="L153" s="228">
        <f t="shared" si="36"/>
        <v>0</v>
      </c>
      <c r="M153" s="228">
        <f t="shared" si="36"/>
        <v>0</v>
      </c>
      <c r="N153" s="228">
        <f t="shared" si="36"/>
        <v>0</v>
      </c>
      <c r="O153" s="228">
        <f t="shared" si="36"/>
        <v>0</v>
      </c>
      <c r="P153" s="71"/>
      <c r="Q153" s="71"/>
      <c r="R153" s="71"/>
      <c r="S153" s="71"/>
      <c r="T153" s="71"/>
    </row>
    <row r="154" spans="1:20" x14ac:dyDescent="0.25">
      <c r="A154" s="261" t="str" cm="1">
        <f t="array" aca="1" ref="A154" ca="1">HYPERLINK(CELL("адрес",Инвестиции!A43),"источник")</f>
        <v>источник</v>
      </c>
      <c r="B154" s="530" t="s">
        <v>216</v>
      </c>
      <c r="C154" s="270" t="s">
        <v>19</v>
      </c>
      <c r="D154" s="250">
        <f>SUM(F154:O154)</f>
        <v>-90000</v>
      </c>
      <c r="E154" s="71"/>
      <c r="F154" s="230">
        <f>-Инвестиции!F7</f>
        <v>-22000</v>
      </c>
      <c r="G154" s="230">
        <f>-Инвестиции!G7</f>
        <v>-68000</v>
      </c>
      <c r="H154" s="230">
        <f>-Инвестиции!H7</f>
        <v>0</v>
      </c>
      <c r="I154" s="230">
        <f>-Инвестиции!I7</f>
        <v>0</v>
      </c>
      <c r="J154" s="230">
        <f>-Инвестиции!J7</f>
        <v>0</v>
      </c>
      <c r="K154" s="230">
        <f>-Инвестиции!K7</f>
        <v>0</v>
      </c>
      <c r="L154" s="230">
        <f>-Инвестиции!L7</f>
        <v>0</v>
      </c>
      <c r="M154" s="230">
        <f>-Инвестиции!M7</f>
        <v>0</v>
      </c>
      <c r="N154" s="230">
        <f>-Инвестиции!N7</f>
        <v>0</v>
      </c>
      <c r="O154" s="230">
        <f>-Инвестиции!O7</f>
        <v>0</v>
      </c>
      <c r="P154" s="71"/>
      <c r="Q154" s="71"/>
      <c r="R154" s="71"/>
      <c r="S154" s="71"/>
      <c r="T154" s="71"/>
    </row>
    <row r="155" spans="1:20" x14ac:dyDescent="0.25">
      <c r="A155" s="421"/>
      <c r="B155" s="530"/>
      <c r="C155" s="270" t="s">
        <v>19</v>
      </c>
      <c r="D155" s="250">
        <f>SUM(F155:O155)</f>
        <v>0</v>
      </c>
      <c r="E155" s="71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71"/>
      <c r="Q155" s="71"/>
      <c r="R155" s="71"/>
      <c r="S155" s="71"/>
      <c r="T155" s="71"/>
    </row>
    <row r="156" spans="1:20" x14ac:dyDescent="0.25">
      <c r="A156" s="421"/>
      <c r="B156" s="533"/>
      <c r="C156" s="270" t="s">
        <v>19</v>
      </c>
      <c r="D156" s="434"/>
      <c r="E156" s="71"/>
      <c r="F156" s="415"/>
      <c r="G156" s="415"/>
      <c r="H156" s="415"/>
      <c r="I156" s="415"/>
      <c r="J156" s="415"/>
      <c r="K156" s="415"/>
      <c r="L156" s="415"/>
      <c r="M156" s="415"/>
      <c r="N156" s="415"/>
      <c r="O156" s="415"/>
      <c r="P156" s="71"/>
      <c r="Q156" s="71"/>
      <c r="R156" s="71"/>
      <c r="S156" s="71"/>
      <c r="T156" s="71"/>
    </row>
    <row r="157" spans="1:20" ht="28.5" x14ac:dyDescent="0.25">
      <c r="A157" s="420"/>
      <c r="B157" s="398" t="s">
        <v>76</v>
      </c>
      <c r="C157" s="270" t="s">
        <v>19</v>
      </c>
      <c r="D157" s="228">
        <f>D149+D153</f>
        <v>-75000</v>
      </c>
      <c r="E157" s="71"/>
      <c r="F157" s="228">
        <f t="shared" ref="F157:O157" si="37">F149+F153</f>
        <v>-18333.333333333332</v>
      </c>
      <c r="G157" s="228">
        <f t="shared" si="37"/>
        <v>-56666.666666666664</v>
      </c>
      <c r="H157" s="228">
        <f t="shared" si="37"/>
        <v>0</v>
      </c>
      <c r="I157" s="228">
        <f t="shared" si="37"/>
        <v>0</v>
      </c>
      <c r="J157" s="228">
        <f t="shared" si="37"/>
        <v>0</v>
      </c>
      <c r="K157" s="228">
        <f t="shared" si="37"/>
        <v>0</v>
      </c>
      <c r="L157" s="228">
        <f t="shared" si="37"/>
        <v>0</v>
      </c>
      <c r="M157" s="228">
        <f t="shared" si="37"/>
        <v>0</v>
      </c>
      <c r="N157" s="228">
        <f t="shared" si="37"/>
        <v>0</v>
      </c>
      <c r="O157" s="228">
        <f t="shared" si="37"/>
        <v>0</v>
      </c>
      <c r="P157" s="71"/>
      <c r="Q157" s="71"/>
      <c r="R157" s="71"/>
      <c r="S157" s="71"/>
      <c r="T157" s="71"/>
    </row>
    <row r="158" spans="1:20" x14ac:dyDescent="0.25">
      <c r="A158" s="149"/>
      <c r="B158" s="178"/>
      <c r="C158" s="407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</row>
    <row r="159" spans="1:20" x14ac:dyDescent="0.25">
      <c r="A159" s="419" t="s">
        <v>78</v>
      </c>
      <c r="B159" s="92"/>
      <c r="C159" s="429"/>
      <c r="D159" s="432"/>
      <c r="E159" s="71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71"/>
      <c r="Q159" s="71"/>
      <c r="R159" s="71"/>
      <c r="S159" s="71"/>
      <c r="T159" s="71"/>
    </row>
    <row r="160" spans="1:20" x14ac:dyDescent="0.25">
      <c r="A160" s="420"/>
      <c r="B160" s="398" t="s">
        <v>72</v>
      </c>
      <c r="C160" s="270" t="s">
        <v>19</v>
      </c>
      <c r="D160" s="228">
        <f>SUM(D161:D164)</f>
        <v>125000</v>
      </c>
      <c r="E160" s="71"/>
      <c r="F160" s="228">
        <f t="shared" ref="F160:O160" si="38">SUM(F161:F164)</f>
        <v>30000</v>
      </c>
      <c r="G160" s="228">
        <f t="shared" si="38"/>
        <v>95000</v>
      </c>
      <c r="H160" s="228">
        <f t="shared" si="38"/>
        <v>0</v>
      </c>
      <c r="I160" s="228">
        <f t="shared" si="38"/>
        <v>0</v>
      </c>
      <c r="J160" s="228">
        <f t="shared" si="38"/>
        <v>0</v>
      </c>
      <c r="K160" s="228">
        <f t="shared" si="38"/>
        <v>0</v>
      </c>
      <c r="L160" s="228">
        <f t="shared" si="38"/>
        <v>0</v>
      </c>
      <c r="M160" s="228">
        <f t="shared" si="38"/>
        <v>0</v>
      </c>
      <c r="N160" s="228">
        <f t="shared" si="38"/>
        <v>0</v>
      </c>
      <c r="O160" s="228">
        <f t="shared" si="38"/>
        <v>0</v>
      </c>
      <c r="P160" s="71"/>
      <c r="Q160" s="71"/>
      <c r="R160" s="71"/>
      <c r="S160" s="71"/>
      <c r="T160" s="71"/>
    </row>
    <row r="161" spans="1:15" ht="30" x14ac:dyDescent="0.25">
      <c r="A161" s="261" t="str" cm="1">
        <f t="array" aca="1" ref="A161" ca="1">HYPERLINK(CELL("адрес",Финансы!A43),"источник")</f>
        <v>источник</v>
      </c>
      <c r="B161" s="530" t="s">
        <v>294</v>
      </c>
      <c r="C161" s="270" t="s">
        <v>19</v>
      </c>
      <c r="D161" s="250">
        <f>SUM(F161:O161)</f>
        <v>30000</v>
      </c>
      <c r="E161" s="71"/>
      <c r="F161" s="230">
        <f>Финансы!F7</f>
        <v>30000</v>
      </c>
      <c r="G161" s="230">
        <f>Финансы!G7</f>
        <v>0</v>
      </c>
      <c r="H161" s="230">
        <f>Финансы!H7</f>
        <v>0</v>
      </c>
      <c r="I161" s="230">
        <f>Финансы!I7</f>
        <v>0</v>
      </c>
      <c r="J161" s="230">
        <f>Финансы!J7</f>
        <v>0</v>
      </c>
      <c r="K161" s="230">
        <f>Финансы!K7</f>
        <v>0</v>
      </c>
      <c r="L161" s="230">
        <f>Финансы!L7</f>
        <v>0</v>
      </c>
      <c r="M161" s="230">
        <f>Финансы!M7</f>
        <v>0</v>
      </c>
      <c r="N161" s="230">
        <f>Финансы!N7</f>
        <v>0</v>
      </c>
      <c r="O161" s="230">
        <f>Финансы!O7</f>
        <v>0</v>
      </c>
    </row>
    <row r="162" spans="1:15" x14ac:dyDescent="0.25">
      <c r="A162" s="421"/>
      <c r="B162" s="530" t="s">
        <v>80</v>
      </c>
      <c r="C162" s="270" t="s">
        <v>19</v>
      </c>
      <c r="D162" s="250">
        <f>SUM(F162:O162)</f>
        <v>0</v>
      </c>
      <c r="E162" s="71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</row>
    <row r="163" spans="1:15" x14ac:dyDescent="0.25">
      <c r="A163" s="421"/>
      <c r="B163" s="530" t="s">
        <v>81</v>
      </c>
      <c r="C163" s="270" t="s">
        <v>19</v>
      </c>
      <c r="D163" s="250">
        <f>SUM(F163:O163)</f>
        <v>0</v>
      </c>
      <c r="E163" s="71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</row>
    <row r="164" spans="1:15" ht="30" x14ac:dyDescent="0.25">
      <c r="A164" s="261" t="str" cm="1">
        <f t="array" aca="1" ref="A164" ca="1">HYPERLINK(CELL("адрес",Финансы!A58),"источник")</f>
        <v>источник</v>
      </c>
      <c r="B164" s="530" t="s">
        <v>237</v>
      </c>
      <c r="C164" s="270" t="s">
        <v>19</v>
      </c>
      <c r="D164" s="250">
        <f>SUM(F164:O164)</f>
        <v>95000</v>
      </c>
      <c r="E164" s="71"/>
      <c r="F164" s="250">
        <f>Финансы!F32</f>
        <v>0</v>
      </c>
      <c r="G164" s="250">
        <f>Финансы!G32</f>
        <v>95000</v>
      </c>
      <c r="H164" s="250">
        <f>Финансы!H32</f>
        <v>0</v>
      </c>
      <c r="I164" s="250">
        <f>Финансы!I32</f>
        <v>0</v>
      </c>
      <c r="J164" s="250">
        <f>Финансы!J32</f>
        <v>0</v>
      </c>
      <c r="K164" s="250">
        <f>Финансы!K32</f>
        <v>0</v>
      </c>
      <c r="L164" s="250">
        <f>Финансы!L32</f>
        <v>0</v>
      </c>
      <c r="M164" s="250">
        <f>Финансы!M32</f>
        <v>0</v>
      </c>
      <c r="N164" s="250">
        <f>Финансы!N32</f>
        <v>0</v>
      </c>
      <c r="O164" s="250">
        <f>Финансы!O32</f>
        <v>0</v>
      </c>
    </row>
    <row r="165" spans="1:15" x14ac:dyDescent="0.25">
      <c r="A165" s="421"/>
      <c r="B165" s="531"/>
      <c r="C165" s="270" t="s">
        <v>19</v>
      </c>
      <c r="D165" s="433"/>
      <c r="E165" s="71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</row>
    <row r="166" spans="1:15" x14ac:dyDescent="0.25">
      <c r="A166" s="420"/>
      <c r="B166" s="398" t="s">
        <v>73</v>
      </c>
      <c r="C166" s="270" t="s">
        <v>19</v>
      </c>
      <c r="D166" s="228">
        <f>SUM(D167:D169)</f>
        <v>-95000</v>
      </c>
      <c r="E166" s="71"/>
      <c r="F166" s="228">
        <f t="shared" ref="F166:O166" si="39">SUM(F167:F169)</f>
        <v>0</v>
      </c>
      <c r="G166" s="228">
        <f t="shared" si="39"/>
        <v>0</v>
      </c>
      <c r="H166" s="228">
        <f t="shared" si="39"/>
        <v>-11875</v>
      </c>
      <c r="I166" s="228">
        <f t="shared" si="39"/>
        <v>-11875</v>
      </c>
      <c r="J166" s="228">
        <f t="shared" si="39"/>
        <v>-11875</v>
      </c>
      <c r="K166" s="228">
        <f t="shared" si="39"/>
        <v>-11875</v>
      </c>
      <c r="L166" s="228">
        <f t="shared" si="39"/>
        <v>-11875</v>
      </c>
      <c r="M166" s="228">
        <f t="shared" si="39"/>
        <v>-11875</v>
      </c>
      <c r="N166" s="228">
        <f t="shared" si="39"/>
        <v>-11875</v>
      </c>
      <c r="O166" s="228">
        <f t="shared" si="39"/>
        <v>-11875</v>
      </c>
    </row>
    <row r="167" spans="1:15" x14ac:dyDescent="0.25">
      <c r="A167" s="261" t="str" cm="1">
        <f t="array" aca="1" ref="A167" ca="1">HYPERLINK(CELL("адрес",Финансы!A59),"источник")</f>
        <v>источник</v>
      </c>
      <c r="B167" s="530" t="s">
        <v>344</v>
      </c>
      <c r="C167" s="270" t="s">
        <v>19</v>
      </c>
      <c r="D167" s="250">
        <f>SUM(F167:O167)</f>
        <v>-95000</v>
      </c>
      <c r="E167" s="71"/>
      <c r="F167" s="230">
        <f>-Финансы!F33</f>
        <v>0</v>
      </c>
      <c r="G167" s="230">
        <f>-Финансы!G33</f>
        <v>0</v>
      </c>
      <c r="H167" s="230">
        <f>-Финансы!H33</f>
        <v>-11875</v>
      </c>
      <c r="I167" s="230">
        <f>-Финансы!I33</f>
        <v>-11875</v>
      </c>
      <c r="J167" s="230">
        <f>-Финансы!J33</f>
        <v>-11875</v>
      </c>
      <c r="K167" s="230">
        <f>-Финансы!K33</f>
        <v>-11875</v>
      </c>
      <c r="L167" s="230">
        <f>-Финансы!L33</f>
        <v>-11875</v>
      </c>
      <c r="M167" s="230">
        <f>-Финансы!M33</f>
        <v>-11875</v>
      </c>
      <c r="N167" s="230">
        <f>-Финансы!N33</f>
        <v>-11875</v>
      </c>
      <c r="O167" s="230">
        <f>-Финансы!O33</f>
        <v>-11875</v>
      </c>
    </row>
    <row r="169" spans="1:15" x14ac:dyDescent="0.25">
      <c r="A169" s="421"/>
      <c r="B169" s="530" t="s">
        <v>82</v>
      </c>
      <c r="C169" s="270" t="s">
        <v>19</v>
      </c>
      <c r="D169" s="250">
        <f>SUM(F169:O169)</f>
        <v>0</v>
      </c>
      <c r="E169" s="71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</row>
    <row r="170" spans="1:15" x14ac:dyDescent="0.25">
      <c r="A170" s="421"/>
      <c r="B170" s="533"/>
      <c r="C170" s="270"/>
      <c r="D170" s="434"/>
      <c r="E170" s="71"/>
      <c r="F170" s="415"/>
      <c r="G170" s="415"/>
      <c r="H170" s="415"/>
      <c r="I170" s="415"/>
      <c r="J170" s="415"/>
      <c r="K170" s="415"/>
      <c r="L170" s="415"/>
      <c r="M170" s="415"/>
      <c r="N170" s="415"/>
      <c r="O170" s="415"/>
    </row>
    <row r="171" spans="1:15" ht="28.5" x14ac:dyDescent="0.25">
      <c r="A171" s="420"/>
      <c r="B171" s="398" t="s">
        <v>79</v>
      </c>
      <c r="C171" s="270" t="s">
        <v>19</v>
      </c>
      <c r="D171" s="228">
        <f>D160+D166</f>
        <v>30000</v>
      </c>
      <c r="E171" s="71"/>
      <c r="F171" s="228">
        <f t="shared" ref="F171:O171" si="40">F160+F166</f>
        <v>30000</v>
      </c>
      <c r="G171" s="228">
        <f t="shared" si="40"/>
        <v>95000</v>
      </c>
      <c r="H171" s="228">
        <f t="shared" si="40"/>
        <v>-11875</v>
      </c>
      <c r="I171" s="228">
        <f t="shared" si="40"/>
        <v>-11875</v>
      </c>
      <c r="J171" s="228">
        <f t="shared" si="40"/>
        <v>-11875</v>
      </c>
      <c r="K171" s="228">
        <f t="shared" si="40"/>
        <v>-11875</v>
      </c>
      <c r="L171" s="228">
        <f t="shared" si="40"/>
        <v>-11875</v>
      </c>
      <c r="M171" s="228">
        <f t="shared" si="40"/>
        <v>-11875</v>
      </c>
      <c r="N171" s="228">
        <f t="shared" si="40"/>
        <v>-11875</v>
      </c>
      <c r="O171" s="228">
        <f t="shared" si="40"/>
        <v>-11875</v>
      </c>
    </row>
    <row r="172" spans="1:15" x14ac:dyDescent="0.25">
      <c r="A172" s="71"/>
      <c r="B172" s="167"/>
      <c r="C172" s="404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</row>
    <row r="173" spans="1:15" x14ac:dyDescent="0.25">
      <c r="A173" s="419" t="s">
        <v>83</v>
      </c>
      <c r="B173" s="92"/>
      <c r="C173" s="429"/>
      <c r="D173" s="432"/>
      <c r="E173" s="71"/>
      <c r="F173" s="414"/>
      <c r="G173" s="414"/>
      <c r="H173" s="414"/>
      <c r="I173" s="414"/>
      <c r="J173" s="414"/>
      <c r="K173" s="414"/>
      <c r="L173" s="414"/>
      <c r="M173" s="414"/>
      <c r="N173" s="414"/>
      <c r="O173" s="414"/>
    </row>
    <row r="174" spans="1:15" x14ac:dyDescent="0.25">
      <c r="A174" s="421"/>
      <c r="B174" s="530" t="s">
        <v>72</v>
      </c>
      <c r="C174" s="270" t="s">
        <v>19</v>
      </c>
      <c r="D174" s="250">
        <f>SUM(F174:O174)</f>
        <v>1256288.2590691657</v>
      </c>
      <c r="E174" s="71"/>
      <c r="F174" s="230">
        <f t="shared" ref="F174:O174" si="41">F126+F149+F160</f>
        <v>33666.666666666664</v>
      </c>
      <c r="G174" s="230">
        <f t="shared" si="41"/>
        <v>106333.33333333333</v>
      </c>
      <c r="H174" s="230">
        <f t="shared" si="41"/>
        <v>46306</v>
      </c>
      <c r="I174" s="230">
        <f t="shared" si="41"/>
        <v>135478</v>
      </c>
      <c r="J174" s="230">
        <f t="shared" si="41"/>
        <v>140894.32000000004</v>
      </c>
      <c r="K174" s="230">
        <f t="shared" si="41"/>
        <v>146527.29280000002</v>
      </c>
      <c r="L174" s="230">
        <f t="shared" si="41"/>
        <v>152385.584512</v>
      </c>
      <c r="M174" s="230">
        <f t="shared" si="41"/>
        <v>158478.20789248002</v>
      </c>
      <c r="N174" s="230">
        <f t="shared" si="41"/>
        <v>164814.5362081792</v>
      </c>
      <c r="O174" s="230">
        <f t="shared" si="41"/>
        <v>171404.31765650638</v>
      </c>
    </row>
    <row r="175" spans="1:15" x14ac:dyDescent="0.25">
      <c r="A175" s="421"/>
      <c r="B175" s="530" t="s">
        <v>73</v>
      </c>
      <c r="C175" s="270" t="s">
        <v>19</v>
      </c>
      <c r="D175" s="250">
        <f ca="1">SUM(F175:O175)</f>
        <v>-892542.58743942669</v>
      </c>
      <c r="E175" s="71"/>
      <c r="F175" s="230">
        <f t="shared" ref="F175:O175" ca="1" si="42">F130+F153+F166</f>
        <v>-30088.8024</v>
      </c>
      <c r="G175" s="230">
        <f t="shared" ca="1" si="42"/>
        <v>-81940.552057599998</v>
      </c>
      <c r="H175" s="230">
        <f t="shared" ca="1" si="42"/>
        <v>-72460.467301639408</v>
      </c>
      <c r="I175" s="230">
        <f t="shared" ca="1" si="42"/>
        <v>-96370.438401815787</v>
      </c>
      <c r="J175" s="230">
        <f t="shared" ca="1" si="42"/>
        <v>-97488.564959515817</v>
      </c>
      <c r="K175" s="230">
        <f t="shared" ca="1" si="42"/>
        <v>-98764.454612977788</v>
      </c>
      <c r="L175" s="230">
        <f t="shared" ca="1" si="42"/>
        <v>-100010.20657025707</v>
      </c>
      <c r="M175" s="230">
        <f t="shared" ca="1" si="42"/>
        <v>-101272.62652112021</v>
      </c>
      <c r="N175" s="230">
        <f t="shared" ca="1" si="42"/>
        <v>-106217.96483944032</v>
      </c>
      <c r="O175" s="230">
        <f t="shared" ca="1" si="42"/>
        <v>-107928.50977506037</v>
      </c>
    </row>
    <row r="176" spans="1:15" x14ac:dyDescent="0.25">
      <c r="A176" s="421"/>
      <c r="B176" s="530"/>
      <c r="C176" s="270"/>
      <c r="D176" s="250"/>
      <c r="E176" s="71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</row>
    <row r="177" spans="1:15" ht="30.75" thickBot="1" x14ac:dyDescent="0.3">
      <c r="A177" s="422"/>
      <c r="B177" s="534" t="s">
        <v>84</v>
      </c>
      <c r="C177" s="430" t="s">
        <v>19</v>
      </c>
      <c r="D177" s="416">
        <f ca="1">D124+D174+D175</f>
        <v>363745.67162973899</v>
      </c>
      <c r="E177" s="413"/>
      <c r="F177" s="416">
        <f t="shared" ref="F177:O177" ca="1" si="43">F124+F174+F175</f>
        <v>3577.8642666666638</v>
      </c>
      <c r="G177" s="416">
        <f t="shared" ca="1" si="43"/>
        <v>27970.645542399987</v>
      </c>
      <c r="H177" s="416">
        <f t="shared" ca="1" si="43"/>
        <v>1816.1782407605788</v>
      </c>
      <c r="I177" s="416">
        <f t="shared" ca="1" si="43"/>
        <v>40923.739838944792</v>
      </c>
      <c r="J177" s="416">
        <f t="shared" ca="1" si="43"/>
        <v>84329.494879428996</v>
      </c>
      <c r="K177" s="416">
        <f t="shared" ca="1" si="43"/>
        <v>132092.33306645125</v>
      </c>
      <c r="L177" s="416">
        <f t="shared" ca="1" si="43"/>
        <v>184467.71100819414</v>
      </c>
      <c r="M177" s="416">
        <f t="shared" ca="1" si="43"/>
        <v>241673.29237955395</v>
      </c>
      <c r="N177" s="416">
        <f t="shared" ca="1" si="43"/>
        <v>300269.86374829285</v>
      </c>
      <c r="O177" s="416">
        <f t="shared" ca="1" si="43"/>
        <v>363745.67162973888</v>
      </c>
    </row>
    <row r="178" spans="1:15" x14ac:dyDescent="0.25">
      <c r="A178" s="71"/>
      <c r="B178" s="167"/>
      <c r="C178" s="404"/>
      <c r="D178" s="124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</row>
    <row r="179" spans="1:15" ht="18.75" x14ac:dyDescent="0.25">
      <c r="A179" s="520" t="s">
        <v>697</v>
      </c>
      <c r="B179" s="167"/>
      <c r="C179" s="189"/>
      <c r="D179" s="71"/>
      <c r="E179" s="71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</row>
    <row r="180" spans="1:15" x14ac:dyDescent="0.25">
      <c r="A180" s="71" t="str">
        <f>Паспорт_ФМ_резидент!$B$7</f>
        <v>Название инвест. проект 01</v>
      </c>
      <c r="B180" s="167"/>
      <c r="C180" s="428"/>
      <c r="D180" s="71"/>
      <c r="E180" s="71"/>
      <c r="F180" s="126">
        <v>1</v>
      </c>
      <c r="G180" s="126">
        <v>2</v>
      </c>
      <c r="H180" s="126">
        <v>3</v>
      </c>
      <c r="I180" s="126">
        <v>4</v>
      </c>
      <c r="J180" s="126">
        <v>5</v>
      </c>
      <c r="K180" s="126">
        <v>6</v>
      </c>
      <c r="L180" s="126">
        <v>7</v>
      </c>
      <c r="M180" s="126">
        <v>8</v>
      </c>
      <c r="N180" s="126">
        <v>9</v>
      </c>
      <c r="O180" s="126">
        <v>10</v>
      </c>
    </row>
    <row r="181" spans="1:15" ht="28.5" x14ac:dyDescent="0.25">
      <c r="A181" s="417" t="s">
        <v>625</v>
      </c>
      <c r="B181" s="236" t="s">
        <v>3</v>
      </c>
      <c r="C181" s="127" t="s">
        <v>12</v>
      </c>
      <c r="D181" s="199" t="str">
        <f>CONCATENATE("Итого ",F181,"-",O181)</f>
        <v>Итого 2025-2025</v>
      </c>
      <c r="E181" s="155"/>
      <c r="F181" s="127">
        <f>YEAR(Паспорт_ФМ_резидент!C36)</f>
        <v>2025</v>
      </c>
      <c r="G181" s="127">
        <f>YEAR(Паспорт_ФМ_резидент!C36)</f>
        <v>2025</v>
      </c>
      <c r="H181" s="127">
        <f>YEAR(Паспорт_ФМ_резидент!C36)</f>
        <v>2025</v>
      </c>
      <c r="I181" s="127">
        <f>YEAR(Паспорт_ФМ_резидент!C36)</f>
        <v>2025</v>
      </c>
      <c r="J181" s="127">
        <f>YEAR(Паспорт_ФМ_резидент!C36)</f>
        <v>2025</v>
      </c>
      <c r="K181" s="127">
        <f>YEAR(Паспорт_ФМ_резидент!C36)</f>
        <v>2025</v>
      </c>
      <c r="L181" s="127">
        <f>YEAR(Паспорт_ФМ_резидент!C36)</f>
        <v>2025</v>
      </c>
      <c r="M181" s="127">
        <f>YEAR(Паспорт_ФМ_резидент!C36)</f>
        <v>2025</v>
      </c>
      <c r="N181" s="127">
        <f>YEAR(Паспорт_ФМ_резидент!C36)</f>
        <v>2025</v>
      </c>
      <c r="O181" s="127">
        <f>YEAR(Паспорт_ФМ_резидент!C36)</f>
        <v>2025</v>
      </c>
    </row>
    <row r="182" spans="1:15" x14ac:dyDescent="0.25">
      <c r="A182" s="71"/>
      <c r="B182" s="178" t="s">
        <v>452</v>
      </c>
      <c r="C182" s="191" t="s">
        <v>27</v>
      </c>
      <c r="D182" s="137"/>
      <c r="E182" s="71"/>
      <c r="F182" s="468">
        <f>Q9</f>
        <v>0.12</v>
      </c>
      <c r="G182" s="468">
        <f t="shared" ref="G182:O182" si="44">F182</f>
        <v>0.12</v>
      </c>
      <c r="H182" s="468">
        <f t="shared" si="44"/>
        <v>0.12</v>
      </c>
      <c r="I182" s="468">
        <f t="shared" si="44"/>
        <v>0.12</v>
      </c>
      <c r="J182" s="468">
        <f t="shared" si="44"/>
        <v>0.12</v>
      </c>
      <c r="K182" s="468">
        <f t="shared" si="44"/>
        <v>0.12</v>
      </c>
      <c r="L182" s="468">
        <f t="shared" si="44"/>
        <v>0.12</v>
      </c>
      <c r="M182" s="468">
        <f t="shared" si="44"/>
        <v>0.12</v>
      </c>
      <c r="N182" s="468">
        <f t="shared" si="44"/>
        <v>0.12</v>
      </c>
      <c r="O182" s="468">
        <f t="shared" si="44"/>
        <v>0.12</v>
      </c>
    </row>
    <row r="183" spans="1:15" ht="30" x14ac:dyDescent="0.25">
      <c r="A183" s="71"/>
      <c r="B183" s="178" t="s">
        <v>161</v>
      </c>
      <c r="C183" s="243" t="s">
        <v>19</v>
      </c>
      <c r="D183" s="546" t="s">
        <v>134</v>
      </c>
      <c r="E183" s="71"/>
      <c r="F183" s="469">
        <f ca="1">Финансы!F21</f>
        <v>0</v>
      </c>
      <c r="G183" s="231">
        <f t="shared" ref="G183:O183" ca="1" si="45">F186</f>
        <v>0</v>
      </c>
      <c r="H183" s="231">
        <f t="shared" ca="1" si="45"/>
        <v>95000</v>
      </c>
      <c r="I183" s="231">
        <f t="shared" ca="1" si="45"/>
        <v>83125</v>
      </c>
      <c r="J183" s="231">
        <f t="shared" ca="1" si="45"/>
        <v>71250</v>
      </c>
      <c r="K183" s="231">
        <f t="shared" ca="1" si="45"/>
        <v>59375</v>
      </c>
      <c r="L183" s="231">
        <f t="shared" ca="1" si="45"/>
        <v>47500</v>
      </c>
      <c r="M183" s="231">
        <f t="shared" ca="1" si="45"/>
        <v>35625</v>
      </c>
      <c r="N183" s="231">
        <f t="shared" ca="1" si="45"/>
        <v>23750</v>
      </c>
      <c r="O183" s="231">
        <f t="shared" ca="1" si="45"/>
        <v>11875</v>
      </c>
    </row>
    <row r="184" spans="1:15" x14ac:dyDescent="0.25">
      <c r="A184" s="518" t="str" cm="1">
        <f t="array" aca="1" ref="A184" ca="1">HYPERLINK(CELL("адрес",Финансы!A22),"источник")</f>
        <v>источник</v>
      </c>
      <c r="B184" s="178" t="s">
        <v>162</v>
      </c>
      <c r="C184" s="243" t="s">
        <v>19</v>
      </c>
      <c r="D184" s="246">
        <f ca="1">SUM(F184:O184)</f>
        <v>95000</v>
      </c>
      <c r="E184" s="71"/>
      <c r="F184" s="469">
        <f ca="1">Финансы!F22</f>
        <v>0</v>
      </c>
      <c r="G184" s="469">
        <f ca="1">Финансы!G22</f>
        <v>95000</v>
      </c>
      <c r="H184" s="469">
        <f ca="1">Финансы!H22</f>
        <v>0</v>
      </c>
      <c r="I184" s="469">
        <f ca="1">Финансы!I22</f>
        <v>0</v>
      </c>
      <c r="J184" s="469">
        <f ca="1">Финансы!J22</f>
        <v>0</v>
      </c>
      <c r="K184" s="469">
        <f ca="1">Финансы!K22</f>
        <v>0</v>
      </c>
      <c r="L184" s="469">
        <f ca="1">Финансы!L22</f>
        <v>0</v>
      </c>
      <c r="M184" s="469">
        <f ca="1">Финансы!M22</f>
        <v>0</v>
      </c>
      <c r="N184" s="469">
        <f ca="1">Финансы!N22</f>
        <v>0</v>
      </c>
      <c r="O184" s="469">
        <f ca="1">Финансы!O22</f>
        <v>0</v>
      </c>
    </row>
    <row r="185" spans="1:15" x14ac:dyDescent="0.25">
      <c r="A185" s="71"/>
      <c r="B185" s="178" t="s">
        <v>163</v>
      </c>
      <c r="C185" s="243" t="s">
        <v>19</v>
      </c>
      <c r="D185" s="246">
        <f ca="1">SUM(F185:O185)</f>
        <v>95000</v>
      </c>
      <c r="E185" s="71"/>
      <c r="F185" s="469">
        <f ca="1">Финансы!F23</f>
        <v>0</v>
      </c>
      <c r="G185" s="469">
        <f ca="1">Финансы!G23</f>
        <v>0</v>
      </c>
      <c r="H185" s="469">
        <f ca="1">Финансы!H23</f>
        <v>11875</v>
      </c>
      <c r="I185" s="469">
        <f ca="1">Финансы!I23</f>
        <v>11875</v>
      </c>
      <c r="J185" s="469">
        <f ca="1">Финансы!J23</f>
        <v>11875</v>
      </c>
      <c r="K185" s="469">
        <f ca="1">Финансы!K23</f>
        <v>11875</v>
      </c>
      <c r="L185" s="469">
        <f ca="1">Финансы!L23</f>
        <v>11875</v>
      </c>
      <c r="M185" s="469">
        <f ca="1">Финансы!M23</f>
        <v>11875</v>
      </c>
      <c r="N185" s="469">
        <f ca="1">Финансы!N23</f>
        <v>11875</v>
      </c>
      <c r="O185" s="469">
        <f ca="1">Финансы!O23</f>
        <v>11875</v>
      </c>
    </row>
    <row r="186" spans="1:15" ht="30" x14ac:dyDescent="0.25">
      <c r="A186" s="71"/>
      <c r="B186" s="178" t="s">
        <v>164</v>
      </c>
      <c r="C186" s="243" t="s">
        <v>19</v>
      </c>
      <c r="D186" s="546" t="s">
        <v>134</v>
      </c>
      <c r="E186" s="71"/>
      <c r="F186" s="231">
        <f t="shared" ref="F186:O186" ca="1" si="46">F183+F184-F185</f>
        <v>0</v>
      </c>
      <c r="G186" s="231">
        <f t="shared" ca="1" si="46"/>
        <v>95000</v>
      </c>
      <c r="H186" s="231">
        <f t="shared" ca="1" si="46"/>
        <v>83125</v>
      </c>
      <c r="I186" s="231">
        <f t="shared" ca="1" si="46"/>
        <v>71250</v>
      </c>
      <c r="J186" s="231">
        <f t="shared" ca="1" si="46"/>
        <v>59375</v>
      </c>
      <c r="K186" s="231">
        <f t="shared" ca="1" si="46"/>
        <v>47500</v>
      </c>
      <c r="L186" s="231">
        <f t="shared" ca="1" si="46"/>
        <v>35625</v>
      </c>
      <c r="M186" s="231">
        <f t="shared" ca="1" si="46"/>
        <v>23750</v>
      </c>
      <c r="N186" s="231">
        <f t="shared" ca="1" si="46"/>
        <v>11875</v>
      </c>
      <c r="O186" s="231">
        <f t="shared" ca="1" si="46"/>
        <v>0</v>
      </c>
    </row>
    <row r="187" spans="1:15" x14ac:dyDescent="0.25">
      <c r="A187" s="71"/>
      <c r="B187" s="178" t="s">
        <v>165</v>
      </c>
      <c r="C187" s="243" t="s">
        <v>19</v>
      </c>
      <c r="D187" s="246">
        <f ca="1">SUM(F187:O187)</f>
        <v>51300</v>
      </c>
      <c r="E187" s="71"/>
      <c r="F187" s="231">
        <f t="shared" ref="F187:O187" ca="1" si="47">(F183+F186)/2*F182</f>
        <v>0</v>
      </c>
      <c r="G187" s="231">
        <f t="shared" ca="1" si="47"/>
        <v>5700</v>
      </c>
      <c r="H187" s="231">
        <f t="shared" ca="1" si="47"/>
        <v>10687.5</v>
      </c>
      <c r="I187" s="231">
        <f t="shared" ca="1" si="47"/>
        <v>9262.5</v>
      </c>
      <c r="J187" s="231">
        <f t="shared" ca="1" si="47"/>
        <v>7837.5</v>
      </c>
      <c r="K187" s="231">
        <f t="shared" ca="1" si="47"/>
        <v>6412.5</v>
      </c>
      <c r="L187" s="231">
        <f t="shared" ca="1" si="47"/>
        <v>4987.5</v>
      </c>
      <c r="M187" s="231">
        <f t="shared" ca="1" si="47"/>
        <v>3562.5</v>
      </c>
      <c r="N187" s="231">
        <f t="shared" ca="1" si="47"/>
        <v>2137.5</v>
      </c>
      <c r="O187" s="231">
        <f t="shared" ca="1" si="47"/>
        <v>712.5</v>
      </c>
    </row>
    <row r="188" spans="1:15" x14ac:dyDescent="0.25">
      <c r="A188" s="71"/>
      <c r="B188" s="178" t="s">
        <v>166</v>
      </c>
      <c r="C188" s="243" t="s">
        <v>19</v>
      </c>
      <c r="D188" s="246">
        <f ca="1">SUM(F188:O188)</f>
        <v>51300</v>
      </c>
      <c r="E188" s="71"/>
      <c r="F188" s="231">
        <f t="shared" ref="F188:O188" ca="1" si="48">F187</f>
        <v>0</v>
      </c>
      <c r="G188" s="231">
        <f t="shared" ca="1" si="48"/>
        <v>5700</v>
      </c>
      <c r="H188" s="231">
        <f t="shared" ca="1" si="48"/>
        <v>10687.5</v>
      </c>
      <c r="I188" s="231">
        <f t="shared" ca="1" si="48"/>
        <v>9262.5</v>
      </c>
      <c r="J188" s="231">
        <f t="shared" ca="1" si="48"/>
        <v>7837.5</v>
      </c>
      <c r="K188" s="231">
        <f t="shared" ca="1" si="48"/>
        <v>6412.5</v>
      </c>
      <c r="L188" s="231">
        <f t="shared" ca="1" si="48"/>
        <v>4987.5</v>
      </c>
      <c r="M188" s="231">
        <f t="shared" ca="1" si="48"/>
        <v>3562.5</v>
      </c>
      <c r="N188" s="231">
        <f t="shared" ca="1" si="48"/>
        <v>2137.5</v>
      </c>
      <c r="O188" s="231">
        <f t="shared" ca="1" si="48"/>
        <v>712.5</v>
      </c>
    </row>
    <row r="189" spans="1:15" x14ac:dyDescent="0.25">
      <c r="A189" s="71"/>
      <c r="B189" s="167"/>
      <c r="C189" s="189"/>
      <c r="D189" s="71"/>
      <c r="E189" s="71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</row>
    <row r="190" spans="1:15" x14ac:dyDescent="0.25">
      <c r="A190" s="71"/>
      <c r="B190" s="167"/>
      <c r="C190" s="189"/>
      <c r="D190" s="71"/>
      <c r="E190" s="71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</row>
    <row r="191" spans="1:15" x14ac:dyDescent="0.25">
      <c r="A191" s="522" t="s">
        <v>872</v>
      </c>
      <c r="B191" s="535"/>
      <c r="C191" s="541"/>
      <c r="D191" s="547"/>
      <c r="E191" s="71"/>
      <c r="F191" s="470"/>
      <c r="G191" s="470"/>
      <c r="H191" s="470"/>
      <c r="I191" s="470"/>
      <c r="J191" s="470"/>
      <c r="K191" s="470"/>
      <c r="L191" s="470"/>
      <c r="M191" s="470"/>
      <c r="N191" s="470"/>
      <c r="O191" s="470"/>
    </row>
    <row r="192" spans="1:15" x14ac:dyDescent="0.25">
      <c r="A192" s="71"/>
      <c r="B192" s="167"/>
      <c r="C192" s="189"/>
      <c r="D192" s="71"/>
      <c r="E192" s="71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</row>
    <row r="193" spans="2:15" ht="30" x14ac:dyDescent="0.25">
      <c r="B193" s="532" t="s">
        <v>714</v>
      </c>
      <c r="C193" s="189"/>
      <c r="D193" s="246">
        <f>SUM(F193:O193)</f>
        <v>-151341.13891795586</v>
      </c>
      <c r="E193" s="71"/>
      <c r="F193" s="231">
        <f>-(F89*0.2)-((F91+F92+F95+F100)*0.2)</f>
        <v>1027</v>
      </c>
      <c r="G193" s="231">
        <f t="shared" ref="G193:O193" si="49">-(G89*0.2)-((G91+G92+G95+G100)*0.2)</f>
        <v>1066.3600000000001</v>
      </c>
      <c r="H193" s="231">
        <f t="shared" si="49"/>
        <v>-5444.5947500000002</v>
      </c>
      <c r="I193" s="231">
        <f t="shared" si="49"/>
        <v>-18647.9954225</v>
      </c>
      <c r="J193" s="231">
        <f t="shared" si="49"/>
        <v>-19417.779463262505</v>
      </c>
      <c r="K193" s="231">
        <f t="shared" si="49"/>
        <v>-20218.861471252065</v>
      </c>
      <c r="L193" s="231">
        <f t="shared" si="49"/>
        <v>-21066.699430428045</v>
      </c>
      <c r="M193" s="231">
        <f t="shared" si="49"/>
        <v>-21948.983160475953</v>
      </c>
      <c r="N193" s="231">
        <f t="shared" si="49"/>
        <v>-22867.098476018244</v>
      </c>
      <c r="O193" s="231">
        <f t="shared" si="49"/>
        <v>-23822.486744019072</v>
      </c>
    </row>
    <row r="194" spans="2:15" x14ac:dyDescent="0.25">
      <c r="B194" s="167" t="s">
        <v>74</v>
      </c>
      <c r="C194" s="189"/>
      <c r="D194" s="246">
        <f>SUM(F194:O194)</f>
        <v>-151341.13891795586</v>
      </c>
      <c r="E194" s="71"/>
      <c r="F194" s="231">
        <f>БДДС!F20</f>
        <v>1027</v>
      </c>
      <c r="G194" s="231">
        <f>БДДС!G20</f>
        <v>1066.3600000000001</v>
      </c>
      <c r="H194" s="231">
        <f>БДДС!H20</f>
        <v>-5444.5947500000002</v>
      </c>
      <c r="I194" s="231">
        <f>БДДС!I20</f>
        <v>-18647.995422499996</v>
      </c>
      <c r="J194" s="231">
        <f>БДДС!J20</f>
        <v>-19417.779463262505</v>
      </c>
      <c r="K194" s="231">
        <f>БДДС!K20</f>
        <v>-20218.861471252065</v>
      </c>
      <c r="L194" s="231">
        <f>БДДС!L20</f>
        <v>-21066.699430428045</v>
      </c>
      <c r="M194" s="231">
        <f>БДДС!M20</f>
        <v>-21948.983160475953</v>
      </c>
      <c r="N194" s="231">
        <f>БДДС!N20</f>
        <v>-22867.098476018244</v>
      </c>
      <c r="O194" s="231">
        <f>БДДС!O20</f>
        <v>-23822.486744019072</v>
      </c>
    </row>
    <row r="195" spans="2:15" x14ac:dyDescent="0.25">
      <c r="B195" s="167"/>
      <c r="C195" s="189"/>
      <c r="D195" s="231">
        <f>D193-D194</f>
        <v>0</v>
      </c>
      <c r="E195" s="71"/>
      <c r="F195" s="231">
        <f>F193-F194</f>
        <v>0</v>
      </c>
      <c r="G195" s="231">
        <f t="shared" ref="G195:O195" si="50">G193-G194</f>
        <v>0</v>
      </c>
      <c r="H195" s="231">
        <f t="shared" si="50"/>
        <v>0</v>
      </c>
      <c r="I195" s="231">
        <f t="shared" si="50"/>
        <v>0</v>
      </c>
      <c r="J195" s="231">
        <f t="shared" si="50"/>
        <v>0</v>
      </c>
      <c r="K195" s="231">
        <f t="shared" si="50"/>
        <v>0</v>
      </c>
      <c r="L195" s="231">
        <f t="shared" si="50"/>
        <v>0</v>
      </c>
      <c r="M195" s="231">
        <f t="shared" si="50"/>
        <v>0</v>
      </c>
      <c r="N195" s="231">
        <f t="shared" si="50"/>
        <v>0</v>
      </c>
      <c r="O195" s="231">
        <f t="shared" si="50"/>
        <v>0</v>
      </c>
    </row>
    <row r="196" spans="2:15" x14ac:dyDescent="0.25">
      <c r="B196" s="167"/>
      <c r="C196" s="189"/>
      <c r="D196" s="71"/>
      <c r="E196" s="71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</row>
    <row r="197" spans="2:15" ht="45" x14ac:dyDescent="0.25">
      <c r="B197" s="91" t="s">
        <v>873</v>
      </c>
      <c r="C197" s="189"/>
      <c r="D197" s="246">
        <f t="shared" ref="D197:D206" ca="1" si="51">SUM(F197:O197)</f>
        <v>408745.67162973888</v>
      </c>
      <c r="E197" s="71"/>
      <c r="F197" s="231">
        <f ca="1">F146</f>
        <v>-8088.8023999999996</v>
      </c>
      <c r="G197" s="231">
        <f t="shared" ref="G197:O197" ca="1" si="52">G146</f>
        <v>-13940.552057599998</v>
      </c>
      <c r="H197" s="231">
        <f t="shared" ca="1" si="52"/>
        <v>-14279.467301639401</v>
      </c>
      <c r="I197" s="231">
        <f t="shared" ca="1" si="52"/>
        <v>50982.561598184213</v>
      </c>
      <c r="J197" s="231">
        <f t="shared" ca="1" si="52"/>
        <v>55280.755040484219</v>
      </c>
      <c r="K197" s="231">
        <f t="shared" ca="1" si="52"/>
        <v>59637.838187022237</v>
      </c>
      <c r="L197" s="231">
        <f t="shared" ca="1" si="52"/>
        <v>64250.377941742932</v>
      </c>
      <c r="M197" s="231">
        <f t="shared" ca="1" si="52"/>
        <v>69080.581371359804</v>
      </c>
      <c r="N197" s="231">
        <f t="shared" ca="1" si="52"/>
        <v>70471.571368738878</v>
      </c>
      <c r="O197" s="231">
        <f t="shared" ca="1" si="52"/>
        <v>75350.807881446002</v>
      </c>
    </row>
    <row r="198" spans="2:15" ht="30" x14ac:dyDescent="0.25">
      <c r="B198" s="91" t="s">
        <v>874</v>
      </c>
      <c r="C198" s="189"/>
      <c r="D198" s="246">
        <f t="shared" ca="1" si="51"/>
        <v>408745.67162973888</v>
      </c>
      <c r="E198" s="71"/>
      <c r="F198" s="231">
        <f ca="1">БДДС!F27</f>
        <v>-8088.8023999999996</v>
      </c>
      <c r="G198" s="231">
        <f ca="1">БДДС!G27</f>
        <v>-13940.552057599998</v>
      </c>
      <c r="H198" s="231">
        <f ca="1">БДДС!H27</f>
        <v>-14279.467301639401</v>
      </c>
      <c r="I198" s="231">
        <f ca="1">БДДС!I27</f>
        <v>50982.561598184227</v>
      </c>
      <c r="J198" s="231">
        <f ca="1">БДДС!J27</f>
        <v>55280.755040484219</v>
      </c>
      <c r="K198" s="231">
        <f ca="1">БДДС!K27</f>
        <v>59637.838187022237</v>
      </c>
      <c r="L198" s="231">
        <f ca="1">БДДС!L27</f>
        <v>64250.377941742932</v>
      </c>
      <c r="M198" s="231">
        <f ca="1">БДДС!M27</f>
        <v>69080.581371359804</v>
      </c>
      <c r="N198" s="231">
        <f ca="1">БДДС!N27</f>
        <v>70471.571368738878</v>
      </c>
      <c r="O198" s="231">
        <f ca="1">БДДС!O27</f>
        <v>75350.807881446002</v>
      </c>
    </row>
    <row r="199" spans="2:15" x14ac:dyDescent="0.25">
      <c r="B199" s="167"/>
      <c r="C199" s="189"/>
      <c r="D199" s="246">
        <f t="shared" ca="1" si="51"/>
        <v>0</v>
      </c>
      <c r="E199" s="71"/>
      <c r="F199" s="231">
        <f ca="1">F197-F198</f>
        <v>0</v>
      </c>
      <c r="G199" s="231">
        <f t="shared" ref="G199:O199" ca="1" si="53">G197-G198</f>
        <v>0</v>
      </c>
      <c r="H199" s="231">
        <f t="shared" ca="1" si="53"/>
        <v>0</v>
      </c>
      <c r="I199" s="231">
        <f t="shared" ca="1" si="53"/>
        <v>0</v>
      </c>
      <c r="J199" s="231">
        <f t="shared" ca="1" si="53"/>
        <v>0</v>
      </c>
      <c r="K199" s="231">
        <f t="shared" ca="1" si="53"/>
        <v>0</v>
      </c>
      <c r="L199" s="231">
        <f t="shared" ca="1" si="53"/>
        <v>0</v>
      </c>
      <c r="M199" s="231">
        <f t="shared" ca="1" si="53"/>
        <v>0</v>
      </c>
      <c r="N199" s="231">
        <f t="shared" ca="1" si="53"/>
        <v>0</v>
      </c>
      <c r="O199" s="231">
        <f t="shared" ca="1" si="53"/>
        <v>0</v>
      </c>
    </row>
    <row r="201" spans="2:15" ht="45" x14ac:dyDescent="0.25">
      <c r="B201" s="91" t="s">
        <v>877</v>
      </c>
      <c r="C201" s="189"/>
      <c r="D201" s="246">
        <f t="shared" ref="D201:D202" si="54">SUM(F201:O201)</f>
        <v>-75000</v>
      </c>
      <c r="E201" s="71"/>
      <c r="F201" s="231">
        <f>F157</f>
        <v>-18333.333333333332</v>
      </c>
      <c r="G201" s="231">
        <f t="shared" ref="G201:O201" si="55">G157</f>
        <v>-56666.666666666664</v>
      </c>
      <c r="H201" s="231">
        <f t="shared" si="55"/>
        <v>0</v>
      </c>
      <c r="I201" s="231">
        <f t="shared" si="55"/>
        <v>0</v>
      </c>
      <c r="J201" s="231">
        <f t="shared" si="55"/>
        <v>0</v>
      </c>
      <c r="K201" s="231">
        <f t="shared" si="55"/>
        <v>0</v>
      </c>
      <c r="L201" s="231">
        <f t="shared" si="55"/>
        <v>0</v>
      </c>
      <c r="M201" s="231">
        <f t="shared" si="55"/>
        <v>0</v>
      </c>
      <c r="N201" s="231">
        <f t="shared" si="55"/>
        <v>0</v>
      </c>
      <c r="O201" s="231">
        <f t="shared" si="55"/>
        <v>0</v>
      </c>
    </row>
    <row r="202" spans="2:15" ht="30" x14ac:dyDescent="0.25">
      <c r="B202" s="91" t="s">
        <v>878</v>
      </c>
      <c r="C202" s="189"/>
      <c r="D202" s="246">
        <f t="shared" si="54"/>
        <v>-75000</v>
      </c>
      <c r="E202" s="71"/>
      <c r="F202" s="231">
        <f>БДДС!F38</f>
        <v>-18333.333333333332</v>
      </c>
      <c r="G202" s="231">
        <f>БДДС!G38</f>
        <v>-56666.666666666664</v>
      </c>
      <c r="H202" s="231">
        <f>БДДС!H38</f>
        <v>0</v>
      </c>
      <c r="I202" s="231">
        <f>БДДС!I38</f>
        <v>0</v>
      </c>
      <c r="J202" s="231">
        <f>БДДС!J38</f>
        <v>0</v>
      </c>
      <c r="K202" s="231">
        <f>БДДС!K38</f>
        <v>0</v>
      </c>
      <c r="L202" s="231">
        <f>БДДС!L38</f>
        <v>0</v>
      </c>
      <c r="M202" s="231">
        <f>БДДС!M38</f>
        <v>0</v>
      </c>
      <c r="N202" s="231">
        <f>БДДС!N38</f>
        <v>0</v>
      </c>
      <c r="O202" s="231">
        <f>БДДС!O38</f>
        <v>0</v>
      </c>
    </row>
    <row r="203" spans="2:15" x14ac:dyDescent="0.25">
      <c r="B203" s="167"/>
      <c r="C203" s="189"/>
      <c r="D203" s="231">
        <f>D201-D202</f>
        <v>0</v>
      </c>
      <c r="E203" s="71"/>
      <c r="F203" s="231">
        <f>F201-F202</f>
        <v>0</v>
      </c>
      <c r="G203" s="231">
        <f t="shared" ref="G203:O203" si="56">G201-G202</f>
        <v>0</v>
      </c>
      <c r="H203" s="231">
        <f t="shared" si="56"/>
        <v>0</v>
      </c>
      <c r="I203" s="231">
        <f t="shared" si="56"/>
        <v>0</v>
      </c>
      <c r="J203" s="231">
        <f t="shared" si="56"/>
        <v>0</v>
      </c>
      <c r="K203" s="231">
        <f t="shared" si="56"/>
        <v>0</v>
      </c>
      <c r="L203" s="231">
        <f t="shared" si="56"/>
        <v>0</v>
      </c>
      <c r="M203" s="231">
        <f t="shared" si="56"/>
        <v>0</v>
      </c>
      <c r="N203" s="231">
        <f t="shared" si="56"/>
        <v>0</v>
      </c>
      <c r="O203" s="231">
        <f t="shared" si="56"/>
        <v>0</v>
      </c>
    </row>
    <row r="205" spans="2:15" ht="45" x14ac:dyDescent="0.25">
      <c r="B205" s="91" t="s">
        <v>875</v>
      </c>
      <c r="C205" s="189"/>
      <c r="D205" s="246">
        <f t="shared" si="51"/>
        <v>30000</v>
      </c>
      <c r="E205" s="71"/>
      <c r="F205" s="231">
        <f>F171</f>
        <v>30000</v>
      </c>
      <c r="G205" s="231">
        <f t="shared" ref="G205:O205" si="57">G171</f>
        <v>95000</v>
      </c>
      <c r="H205" s="231">
        <f t="shared" si="57"/>
        <v>-11875</v>
      </c>
      <c r="I205" s="231">
        <f t="shared" si="57"/>
        <v>-11875</v>
      </c>
      <c r="J205" s="231">
        <f t="shared" si="57"/>
        <v>-11875</v>
      </c>
      <c r="K205" s="231">
        <f t="shared" si="57"/>
        <v>-11875</v>
      </c>
      <c r="L205" s="231">
        <f t="shared" si="57"/>
        <v>-11875</v>
      </c>
      <c r="M205" s="231">
        <f t="shared" si="57"/>
        <v>-11875</v>
      </c>
      <c r="N205" s="231">
        <f t="shared" si="57"/>
        <v>-11875</v>
      </c>
      <c r="O205" s="231">
        <f t="shared" si="57"/>
        <v>-11875</v>
      </c>
    </row>
    <row r="206" spans="2:15" ht="30" x14ac:dyDescent="0.25">
      <c r="B206" s="91" t="s">
        <v>876</v>
      </c>
      <c r="C206" s="189"/>
      <c r="D206" s="246">
        <f t="shared" si="51"/>
        <v>30000</v>
      </c>
      <c r="E206" s="71"/>
      <c r="F206" s="231">
        <f>БДДС!F52</f>
        <v>30000</v>
      </c>
      <c r="G206" s="231">
        <f>БДДС!G52</f>
        <v>95000</v>
      </c>
      <c r="H206" s="231">
        <f>БДДС!H52</f>
        <v>-11875</v>
      </c>
      <c r="I206" s="231">
        <f>БДДС!I52</f>
        <v>-11875</v>
      </c>
      <c r="J206" s="231">
        <f>БДДС!J52</f>
        <v>-11875</v>
      </c>
      <c r="K206" s="231">
        <f>БДДС!K52</f>
        <v>-11875</v>
      </c>
      <c r="L206" s="231">
        <f>БДДС!L52</f>
        <v>-11875</v>
      </c>
      <c r="M206" s="231">
        <f>БДДС!M52</f>
        <v>-11875</v>
      </c>
      <c r="N206" s="231">
        <f>БДДС!N52</f>
        <v>-11875</v>
      </c>
      <c r="O206" s="231">
        <f>БДДС!O52</f>
        <v>-11875</v>
      </c>
    </row>
    <row r="207" spans="2:15" x14ac:dyDescent="0.25">
      <c r="B207" s="167"/>
      <c r="C207" s="189"/>
      <c r="D207" s="231">
        <f>D205-D206</f>
        <v>0</v>
      </c>
      <c r="E207" s="71"/>
      <c r="F207" s="231">
        <f>F205-F206</f>
        <v>0</v>
      </c>
      <c r="G207" s="231">
        <f t="shared" ref="G207:O207" si="58">G205-G206</f>
        <v>0</v>
      </c>
      <c r="H207" s="231">
        <f t="shared" si="58"/>
        <v>0</v>
      </c>
      <c r="I207" s="231">
        <f t="shared" si="58"/>
        <v>0</v>
      </c>
      <c r="J207" s="231">
        <f t="shared" si="58"/>
        <v>0</v>
      </c>
      <c r="K207" s="231">
        <f t="shared" si="58"/>
        <v>0</v>
      </c>
      <c r="L207" s="231">
        <f t="shared" si="58"/>
        <v>0</v>
      </c>
      <c r="M207" s="231">
        <f t="shared" si="58"/>
        <v>0</v>
      </c>
      <c r="N207" s="231">
        <f t="shared" si="58"/>
        <v>0</v>
      </c>
      <c r="O207" s="231">
        <f t="shared" si="58"/>
        <v>0</v>
      </c>
    </row>
  </sheetData>
  <conditionalFormatting sqref="I27:N32">
    <cfRule type="colorScale" priority="5">
      <colorScale>
        <cfvo type="min"/>
        <cfvo type="max"/>
        <color rgb="FFFCFCFF"/>
        <color rgb="FF63BE7B"/>
      </colorScale>
    </cfRule>
  </conditionalFormatting>
  <conditionalFormatting sqref="I36:N41">
    <cfRule type="colorScale" priority="4">
      <colorScale>
        <cfvo type="min"/>
        <cfvo type="max"/>
        <color rgb="FFFCFCFF"/>
        <color rgb="FF63BE7B"/>
      </colorScale>
    </cfRule>
  </conditionalFormatting>
  <conditionalFormatting sqref="I45:N50">
    <cfRule type="colorScale" priority="3">
      <colorScale>
        <cfvo type="min"/>
        <cfvo type="max"/>
        <color rgb="FFFCFCFF"/>
        <color rgb="FF63BE7B"/>
      </colorScale>
    </cfRule>
  </conditionalFormatting>
  <conditionalFormatting sqref="I54:N59">
    <cfRule type="colorScale" priority="2">
      <colorScale>
        <cfvo type="min"/>
        <cfvo type="max"/>
        <color rgb="FFFCFCFF"/>
        <color rgb="FF63BE7B"/>
      </colorScale>
    </cfRule>
  </conditionalFormatting>
  <conditionalFormatting sqref="I63:N68">
    <cfRule type="colorScale" priority="1">
      <colorScale>
        <cfvo type="min"/>
        <cfvo type="max"/>
        <color rgb="FFFCFCFF"/>
        <color rgb="FF63BE7B"/>
      </colorScale>
    </cfRule>
  </conditionalFormatting>
  <conditionalFormatting sqref="W135:AB143 W145:AB146">
    <cfRule type="colorScale" priority="7">
      <colorScale>
        <cfvo type="min"/>
        <cfvo type="max"/>
        <color rgb="FFFCFCFF"/>
        <color rgb="FF63BE7B"/>
      </colorScale>
    </cfRule>
  </conditionalFormatting>
  <hyperlinks>
    <hyperlink ref="I1" location="Контроль!A1" display="Контроль!A1" xr:uid="{5DA24376-60DB-4B03-8EDE-0D419926FE47}"/>
    <hyperlink ref="A144" location="СтрессТест!A132" display="источник" xr:uid="{70A9E247-988D-42D2-86B4-27E92AD54DC6}"/>
    <hyperlink ref="A104" location="СтрессТест!A102" display="источник" xr:uid="{6C6AF7FF-333D-4696-866F-9243A165E058}"/>
    <hyperlink ref="A80" location="Чувствительность!A144" display="источник" xr:uid="{21FDF405-233D-4BD2-88DC-7FD274DE6F59}"/>
    <hyperlink ref="A81" location="Чувствительность!A155" display="источник" xr:uid="{2C38CA20-EB0C-45F4-BB85-B0854DC36A54}"/>
    <hyperlink ref="A26" location="Чувствительность!D10" display="перейти" xr:uid="{09FC7ECA-8FA7-425E-BEBE-4A031F1F4729}"/>
    <hyperlink ref="A35" location="Чувствительность!D14" display="перейти" xr:uid="{B8E78D40-444C-4DEA-9473-BD22D90BE0E9}"/>
    <hyperlink ref="A44" location="Чувствительность!D112" display="перейти" xr:uid="{7B941ADA-3900-4641-BD05-5E5BF8DC7126}"/>
    <hyperlink ref="A53" location="Чувствительность!D112" display="перейти" xr:uid="{593B4B52-3A51-4392-8C9A-AD15908E3DC0}"/>
    <hyperlink ref="A62" location="Чувствительность!D112" display="перейти" xr:uid="{F40B8828-1798-441B-9D04-020EABB5AD05}"/>
  </hyperlink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  <headerFooter>
    <oddFooter>&amp;C&amp;9Страница  &amp;P из &amp;N&amp;R&amp;G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1F43-FE6D-4ACD-A1A6-39FA16F84E9B}">
  <sheetPr>
    <tabColor theme="5" tint="0.79998168889431442"/>
    <outlinePr summaryRight="0"/>
    <pageSetUpPr fitToPage="1"/>
  </sheetPr>
  <dimension ref="A1:H47"/>
  <sheetViews>
    <sheetView showGridLines="0" zoomScale="85" zoomScaleNormal="85" workbookViewId="0">
      <pane ySplit="3" topLeftCell="A4" activePane="bottomLeft" state="frozen"/>
      <selection activeCell="C1" sqref="C1"/>
      <selection pane="bottomLeft" activeCell="E34" sqref="E34"/>
    </sheetView>
  </sheetViews>
  <sheetFormatPr defaultColWidth="0" defaultRowHeight="15" zeroHeight="1" x14ac:dyDescent="0.25"/>
  <cols>
    <col min="1" max="1" width="25.42578125" style="381" customWidth="1"/>
    <col min="2" max="2" width="11.140625" style="379" customWidth="1"/>
    <col min="3" max="3" width="135.42578125" style="379" customWidth="1"/>
    <col min="4" max="4" width="4.42578125" style="379" customWidth="1"/>
    <col min="5" max="5" width="19.5703125" style="381" customWidth="1"/>
    <col min="6" max="6" width="0.140625" style="379" customWidth="1"/>
    <col min="7" max="8" width="0" style="379" hidden="1" customWidth="1"/>
    <col min="9" max="16384" width="8.85546875" style="379" hidden="1"/>
  </cols>
  <sheetData>
    <row r="1" spans="1:5" ht="18.75" x14ac:dyDescent="0.25">
      <c r="A1" s="692" t="s">
        <v>755</v>
      </c>
    </row>
    <row r="2" spans="1:5" ht="17.649999999999999" customHeight="1" x14ac:dyDescent="0.25">
      <c r="A2" s="378" t="str">
        <f>Паспорт_ФМ_резидент!B7</f>
        <v>Название инвест. проект 01</v>
      </c>
    </row>
    <row r="3" spans="1:5" ht="9.6" customHeight="1" x14ac:dyDescent="0.25">
      <c r="A3" s="72"/>
      <c r="B3" s="72"/>
      <c r="C3" s="74"/>
      <c r="D3" s="72"/>
      <c r="E3" s="72"/>
    </row>
    <row r="4" spans="1:5" x14ac:dyDescent="0.25"/>
    <row r="5" spans="1:5" x14ac:dyDescent="0.25"/>
    <row r="6" spans="1:5" x14ac:dyDescent="0.25">
      <c r="C6" s="380"/>
    </row>
    <row r="7" spans="1:5" x14ac:dyDescent="0.25"/>
    <row r="8" spans="1:5" x14ac:dyDescent="0.25"/>
    <row r="9" spans="1:5" x14ac:dyDescent="0.25"/>
    <row r="10" spans="1:5" x14ac:dyDescent="0.25"/>
    <row r="11" spans="1:5" x14ac:dyDescent="0.25"/>
    <row r="12" spans="1:5" x14ac:dyDescent="0.25"/>
    <row r="13" spans="1:5" x14ac:dyDescent="0.25"/>
    <row r="14" spans="1:5" x14ac:dyDescent="0.25"/>
    <row r="15" spans="1:5" x14ac:dyDescent="0.25"/>
    <row r="16" spans="1:5" x14ac:dyDescent="0.25"/>
    <row r="17" spans="1:1" x14ac:dyDescent="0.25"/>
    <row r="18" spans="1:1" x14ac:dyDescent="0.25">
      <c r="A18" s="380"/>
    </row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spans="3:3" x14ac:dyDescent="0.25"/>
    <row r="34" spans="3:3" x14ac:dyDescent="0.25"/>
    <row r="35" spans="3:3" x14ac:dyDescent="0.25"/>
    <row r="36" spans="3:3" x14ac:dyDescent="0.25"/>
    <row r="37" spans="3:3" x14ac:dyDescent="0.25"/>
    <row r="38" spans="3:3" x14ac:dyDescent="0.25"/>
    <row r="39" spans="3:3" x14ac:dyDescent="0.25"/>
    <row r="40" spans="3:3" x14ac:dyDescent="0.25"/>
    <row r="41" spans="3:3" x14ac:dyDescent="0.25"/>
    <row r="42" spans="3:3" x14ac:dyDescent="0.25">
      <c r="C42" s="380"/>
    </row>
    <row r="43" spans="3:3" x14ac:dyDescent="0.25"/>
    <row r="44" spans="3:3" x14ac:dyDescent="0.25"/>
    <row r="45" spans="3:3" x14ac:dyDescent="0.25"/>
    <row r="46" spans="3:3" x14ac:dyDescent="0.25"/>
    <row r="47" spans="3:3" x14ac:dyDescent="0.25"/>
  </sheetData>
  <printOptions horizontalCentered="1" verticalCentered="1"/>
  <pageMargins left="0.25" right="0.25" top="0.75" bottom="0.75" header="0.3" footer="0.3"/>
  <pageSetup paperSize="9" scale="72" orientation="landscape" r:id="rId1"/>
  <headerFooter>
    <oddFooter>&amp;C&amp;9Страница  &amp;P из &amp;N&amp;R&amp;G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5BFF-DF36-4A98-A4ED-85F7B1F35E92}">
  <sheetPr codeName="Лист13">
    <tabColor theme="9" tint="0.59999389629810485"/>
    <outlinePr summaryBelow="0" summaryRight="0"/>
    <pageSetUpPr fitToPage="1"/>
  </sheetPr>
  <dimension ref="A1:AA178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D9" sqref="D9"/>
    </sheetView>
  </sheetViews>
  <sheetFormatPr defaultRowHeight="15" outlineLevelRow="1" outlineLevelCol="1" x14ac:dyDescent="0.25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27" ht="25.5" x14ac:dyDescent="0.25">
      <c r="A1" s="690" t="s">
        <v>487</v>
      </c>
      <c r="B1" s="71"/>
      <c r="C1" s="189"/>
      <c r="D1" s="71"/>
      <c r="E1" s="71"/>
      <c r="F1" s="71"/>
      <c r="G1" s="71"/>
      <c r="H1" s="154" t="str">
        <f ca="1">Контроль!$Q$1</f>
        <v>Ошибок нет</v>
      </c>
      <c r="I1" s="71"/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x14ac:dyDescent="0.25">
      <c r="A2" s="71" t="str">
        <f>Паспорт_ФМ_резидент!B7</f>
        <v>Название инвест. проект 01</v>
      </c>
      <c r="B2" s="71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62">
        <v>12</v>
      </c>
      <c r="T2" s="162">
        <v>13</v>
      </c>
      <c r="U2" s="162">
        <v>14</v>
      </c>
      <c r="V2" s="162">
        <v>15</v>
      </c>
      <c r="W2" s="162">
        <v>16</v>
      </c>
      <c r="X2" s="162">
        <v>17</v>
      </c>
      <c r="Y2" s="162">
        <v>18</v>
      </c>
      <c r="Z2" s="162">
        <v>19</v>
      </c>
      <c r="AA2" s="162">
        <v>20</v>
      </c>
    </row>
    <row r="3" spans="1:27" s="18" customFormat="1" ht="28.5" x14ac:dyDescent="0.25">
      <c r="A3" s="78"/>
      <c r="B3" s="78" t="s">
        <v>3</v>
      </c>
      <c r="C3" s="190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0">G3+1</f>
        <v>2027</v>
      </c>
      <c r="I3" s="127">
        <f t="shared" si="0"/>
        <v>2028</v>
      </c>
      <c r="J3" s="127">
        <f t="shared" si="0"/>
        <v>2029</v>
      </c>
      <c r="K3" s="127">
        <f t="shared" si="0"/>
        <v>2030</v>
      </c>
      <c r="L3" s="127">
        <f t="shared" si="0"/>
        <v>2031</v>
      </c>
      <c r="M3" s="127">
        <f t="shared" si="0"/>
        <v>2032</v>
      </c>
      <c r="N3" s="127">
        <f t="shared" si="0"/>
        <v>2033</v>
      </c>
      <c r="O3" s="127">
        <f t="shared" si="0"/>
        <v>2034</v>
      </c>
      <c r="P3" s="710"/>
      <c r="Q3" s="160"/>
      <c r="R3" s="163">
        <f>O3+1</f>
        <v>2035</v>
      </c>
      <c r="S3" s="163">
        <f>R3+1</f>
        <v>2036</v>
      </c>
      <c r="T3" s="163">
        <f>S3+1</f>
        <v>2037</v>
      </c>
      <c r="U3" s="163">
        <f t="shared" ref="U3:AA3" si="1">T3+1</f>
        <v>2038</v>
      </c>
      <c r="V3" s="163">
        <f t="shared" si="1"/>
        <v>2039</v>
      </c>
      <c r="W3" s="163">
        <f t="shared" si="1"/>
        <v>2040</v>
      </c>
      <c r="X3" s="163">
        <f t="shared" si="1"/>
        <v>2041</v>
      </c>
      <c r="Y3" s="163">
        <f t="shared" si="1"/>
        <v>2042</v>
      </c>
      <c r="Z3" s="163">
        <f t="shared" si="1"/>
        <v>2043</v>
      </c>
      <c r="AA3" s="163">
        <f t="shared" si="1"/>
        <v>2044</v>
      </c>
    </row>
    <row r="4" spans="1:27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x14ac:dyDescent="0.25">
      <c r="A5" s="557" t="s">
        <v>191</v>
      </c>
      <c r="B5" s="548"/>
      <c r="C5" s="548"/>
      <c r="D5" s="548"/>
      <c r="E5" s="71"/>
      <c r="F5" s="548"/>
      <c r="G5" s="548"/>
      <c r="H5" s="548"/>
      <c r="I5" s="548"/>
      <c r="J5" s="548"/>
      <c r="K5" s="548"/>
      <c r="L5" s="548"/>
      <c r="M5" s="548"/>
      <c r="N5" s="548"/>
      <c r="O5" s="548"/>
      <c r="P5" s="720"/>
      <c r="Q5" s="159"/>
      <c r="R5" s="108"/>
      <c r="S5" s="108"/>
      <c r="T5" s="108"/>
      <c r="U5" s="108"/>
      <c r="V5" s="108"/>
      <c r="W5" s="71"/>
      <c r="X5" s="71"/>
      <c r="Y5" s="71"/>
      <c r="Z5" s="71"/>
      <c r="AA5" s="71"/>
    </row>
    <row r="6" spans="1:27" x14ac:dyDescent="0.25">
      <c r="A6" s="552"/>
      <c r="B6" s="552"/>
      <c r="C6" s="567"/>
      <c r="D6" s="567"/>
      <c r="E6" s="71"/>
      <c r="F6" s="549"/>
      <c r="G6" s="549"/>
      <c r="H6" s="549"/>
      <c r="I6" s="549"/>
      <c r="J6" s="549"/>
      <c r="K6" s="549"/>
      <c r="L6" s="549"/>
      <c r="M6" s="549"/>
      <c r="N6" s="549"/>
      <c r="O6" s="549"/>
      <c r="P6" s="720"/>
      <c r="Q6" s="159"/>
      <c r="R6" s="108"/>
      <c r="S6" s="108"/>
      <c r="T6" s="108"/>
      <c r="U6" s="108"/>
      <c r="V6" s="108"/>
      <c r="W6" s="71"/>
      <c r="X6" s="71"/>
      <c r="Y6" s="71"/>
      <c r="Z6" s="71"/>
      <c r="AA6" s="71"/>
    </row>
    <row r="7" spans="1:27" x14ac:dyDescent="0.25">
      <c r="A7" s="226"/>
      <c r="B7" s="178" t="s">
        <v>189</v>
      </c>
      <c r="C7" s="244" t="s">
        <v>19</v>
      </c>
      <c r="D7" s="697">
        <f>SUM(F7:O7)</f>
        <v>90000</v>
      </c>
      <c r="E7" s="71"/>
      <c r="F7" s="551">
        <f t="shared" ref="F7:O7" si="2">SUMIF($B$22:$B$169,$B$7,F$22:F$169)</f>
        <v>22000</v>
      </c>
      <c r="G7" s="551">
        <f t="shared" si="2"/>
        <v>68000</v>
      </c>
      <c r="H7" s="551">
        <f t="shared" si="2"/>
        <v>0</v>
      </c>
      <c r="I7" s="551">
        <f t="shared" si="2"/>
        <v>0</v>
      </c>
      <c r="J7" s="551">
        <f t="shared" si="2"/>
        <v>0</v>
      </c>
      <c r="K7" s="551">
        <f t="shared" si="2"/>
        <v>0</v>
      </c>
      <c r="L7" s="551">
        <f t="shared" si="2"/>
        <v>0</v>
      </c>
      <c r="M7" s="551">
        <f t="shared" si="2"/>
        <v>0</v>
      </c>
      <c r="N7" s="551">
        <f t="shared" si="2"/>
        <v>0</v>
      </c>
      <c r="O7" s="551">
        <f t="shared" si="2"/>
        <v>0</v>
      </c>
      <c r="P7" s="385"/>
      <c r="Q7" s="159"/>
      <c r="R7" s="108"/>
      <c r="S7" s="108"/>
      <c r="T7" s="108"/>
      <c r="U7" s="108"/>
      <c r="V7" s="108"/>
      <c r="W7" s="71"/>
      <c r="X7" s="71"/>
      <c r="Y7" s="71"/>
      <c r="Z7" s="71"/>
      <c r="AA7" s="71"/>
    </row>
    <row r="8" spans="1:27" x14ac:dyDescent="0.25">
      <c r="A8" s="226"/>
      <c r="B8" s="178" t="s">
        <v>132</v>
      </c>
      <c r="C8" s="244" t="s">
        <v>19</v>
      </c>
      <c r="D8" s="697">
        <f>SUM(F8:O8)</f>
        <v>15000.000000000002</v>
      </c>
      <c r="E8" s="71"/>
      <c r="F8" s="551">
        <f t="shared" ref="F8:O8" si="3">SUMIF($B$22:$B$169,$B$8,F$22:F$169)</f>
        <v>3666.6666666666674</v>
      </c>
      <c r="G8" s="551">
        <f t="shared" si="3"/>
        <v>11333.333333333334</v>
      </c>
      <c r="H8" s="551">
        <f t="shared" si="3"/>
        <v>0</v>
      </c>
      <c r="I8" s="551">
        <f t="shared" si="3"/>
        <v>0</v>
      </c>
      <c r="J8" s="551">
        <f t="shared" si="3"/>
        <v>0</v>
      </c>
      <c r="K8" s="551">
        <f t="shared" si="3"/>
        <v>0</v>
      </c>
      <c r="L8" s="551">
        <f t="shared" si="3"/>
        <v>0</v>
      </c>
      <c r="M8" s="551">
        <f t="shared" si="3"/>
        <v>0</v>
      </c>
      <c r="N8" s="551">
        <f t="shared" si="3"/>
        <v>0</v>
      </c>
      <c r="O8" s="551">
        <f t="shared" si="3"/>
        <v>0</v>
      </c>
      <c r="P8" s="385"/>
      <c r="Q8" s="159"/>
      <c r="R8" s="108"/>
      <c r="S8" s="108"/>
      <c r="T8" s="108"/>
      <c r="U8" s="108"/>
      <c r="V8" s="108"/>
      <c r="W8" s="71"/>
      <c r="X8" s="71"/>
      <c r="Y8" s="71"/>
      <c r="Z8" s="71"/>
      <c r="AA8" s="71"/>
    </row>
    <row r="9" spans="1:27" ht="30" x14ac:dyDescent="0.25">
      <c r="A9" s="226"/>
      <c r="B9" s="178" t="s">
        <v>485</v>
      </c>
      <c r="C9" s="244"/>
      <c r="D9" s="697">
        <f>SUM(F9:O9)</f>
        <v>75000</v>
      </c>
      <c r="E9" s="71"/>
      <c r="F9" s="551">
        <f t="shared" ref="F9:O9" si="4">SUMIF($B$22:$B$169,$B$9,F$22:F$169)</f>
        <v>18333.333333333332</v>
      </c>
      <c r="G9" s="551">
        <f t="shared" si="4"/>
        <v>56666.666666666664</v>
      </c>
      <c r="H9" s="551">
        <f t="shared" si="4"/>
        <v>0</v>
      </c>
      <c r="I9" s="551">
        <f t="shared" si="4"/>
        <v>0</v>
      </c>
      <c r="J9" s="551">
        <f t="shared" si="4"/>
        <v>0</v>
      </c>
      <c r="K9" s="551">
        <f t="shared" si="4"/>
        <v>0</v>
      </c>
      <c r="L9" s="551">
        <f t="shared" si="4"/>
        <v>0</v>
      </c>
      <c r="M9" s="551">
        <f t="shared" si="4"/>
        <v>0</v>
      </c>
      <c r="N9" s="551">
        <f t="shared" si="4"/>
        <v>0</v>
      </c>
      <c r="O9" s="551">
        <f t="shared" si="4"/>
        <v>0</v>
      </c>
      <c r="P9" s="385"/>
      <c r="Q9" s="159"/>
      <c r="R9" s="108"/>
      <c r="S9" s="108"/>
      <c r="T9" s="108"/>
      <c r="U9" s="108"/>
      <c r="V9" s="108"/>
      <c r="W9" s="71"/>
      <c r="X9" s="71"/>
      <c r="Y9" s="71"/>
      <c r="Z9" s="71"/>
      <c r="AA9" s="71"/>
    </row>
    <row r="10" spans="1:27" x14ac:dyDescent="0.25">
      <c r="A10" s="226"/>
      <c r="B10" s="178" t="s">
        <v>101</v>
      </c>
      <c r="C10" s="244" t="s">
        <v>19</v>
      </c>
      <c r="D10" s="697">
        <f>SUM(F10:O10)</f>
        <v>43833.333333333336</v>
      </c>
      <c r="E10" s="71"/>
      <c r="F10" s="551">
        <f t="shared" ref="F10:O10" si="5">SUMIF($B$22:$B$169,$B$10,F$22:F$169)</f>
        <v>0</v>
      </c>
      <c r="G10" s="551">
        <f t="shared" si="5"/>
        <v>0</v>
      </c>
      <c r="H10" s="551">
        <f t="shared" si="5"/>
        <v>6238.0952380952376</v>
      </c>
      <c r="I10" s="551">
        <f t="shared" si="5"/>
        <v>6238.0952380952376</v>
      </c>
      <c r="J10" s="551">
        <f t="shared" si="5"/>
        <v>6238.0952380952376</v>
      </c>
      <c r="K10" s="551">
        <f t="shared" si="5"/>
        <v>6238.0952380952376</v>
      </c>
      <c r="L10" s="551">
        <f t="shared" si="5"/>
        <v>6238.0952380952376</v>
      </c>
      <c r="M10" s="551">
        <f t="shared" si="5"/>
        <v>5404.7619047619046</v>
      </c>
      <c r="N10" s="551">
        <f t="shared" si="5"/>
        <v>5404.7619047619046</v>
      </c>
      <c r="O10" s="551">
        <f t="shared" si="5"/>
        <v>1833.333333333333</v>
      </c>
      <c r="P10" s="385"/>
      <c r="Q10" s="159"/>
      <c r="R10" s="108"/>
      <c r="S10" s="108"/>
      <c r="T10" s="108"/>
      <c r="U10" s="108"/>
      <c r="V10" s="108"/>
      <c r="W10" s="71"/>
      <c r="X10" s="71"/>
      <c r="Y10" s="71"/>
      <c r="Z10" s="71"/>
      <c r="AA10" s="71"/>
    </row>
    <row r="11" spans="1:27" x14ac:dyDescent="0.25">
      <c r="A11" s="702"/>
      <c r="B11" s="564" t="s">
        <v>190</v>
      </c>
      <c r="C11" s="699" t="s">
        <v>19</v>
      </c>
      <c r="D11" s="624" t="s">
        <v>134</v>
      </c>
      <c r="E11" s="71"/>
      <c r="F11" s="550">
        <f t="shared" ref="F11:O11" si="6">SUMIF($B$22:$B$169,$B$11,F$22:F$169)</f>
        <v>18333.333333333332</v>
      </c>
      <c r="G11" s="550">
        <f t="shared" si="6"/>
        <v>75000</v>
      </c>
      <c r="H11" s="550">
        <f t="shared" si="6"/>
        <v>68761.904761904749</v>
      </c>
      <c r="I11" s="550">
        <f t="shared" si="6"/>
        <v>62523.809523809512</v>
      </c>
      <c r="J11" s="550">
        <f t="shared" si="6"/>
        <v>56285.714285714268</v>
      </c>
      <c r="K11" s="550">
        <f t="shared" si="6"/>
        <v>50047.619047619031</v>
      </c>
      <c r="L11" s="550">
        <f t="shared" si="6"/>
        <v>43809.523809523787</v>
      </c>
      <c r="M11" s="550">
        <f t="shared" si="6"/>
        <v>38404.761904761879</v>
      </c>
      <c r="N11" s="550">
        <f t="shared" si="6"/>
        <v>32999.999999999971</v>
      </c>
      <c r="O11" s="550">
        <f t="shared" si="6"/>
        <v>31166.666666666642</v>
      </c>
      <c r="P11" s="385"/>
      <c r="Q11" s="159"/>
      <c r="R11" s="108"/>
      <c r="S11" s="108"/>
      <c r="T11" s="108"/>
      <c r="U11" s="108"/>
      <c r="V11" s="108"/>
      <c r="W11" s="71"/>
      <c r="X11" s="71"/>
      <c r="Y11" s="71"/>
      <c r="Z11" s="71"/>
      <c r="AA11" s="71"/>
    </row>
    <row r="12" spans="1:27" x14ac:dyDescent="0.25">
      <c r="A12" s="701"/>
      <c r="B12" s="180"/>
      <c r="C12" s="454"/>
      <c r="D12" s="700"/>
      <c r="E12" s="71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71"/>
      <c r="Q12" s="159"/>
      <c r="R12" s="108"/>
      <c r="S12" s="108"/>
      <c r="T12" s="108"/>
      <c r="U12" s="108"/>
      <c r="V12" s="108"/>
      <c r="W12" s="71"/>
      <c r="X12" s="71"/>
      <c r="Y12" s="71"/>
      <c r="Z12" s="71"/>
      <c r="AA12" s="71"/>
    </row>
    <row r="13" spans="1:27" x14ac:dyDescent="0.25">
      <c r="A13" s="226"/>
      <c r="B13" s="562" t="s">
        <v>451</v>
      </c>
      <c r="C13" s="454"/>
      <c r="D13" s="569"/>
      <c r="E13" s="71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71"/>
      <c r="Q13" s="159"/>
      <c r="R13" s="108"/>
      <c r="S13" s="108"/>
      <c r="T13" s="108"/>
      <c r="U13" s="108"/>
      <c r="V13" s="108"/>
      <c r="W13" s="71"/>
      <c r="X13" s="71"/>
      <c r="Y13" s="71"/>
      <c r="Z13" s="71"/>
      <c r="AA13" s="71"/>
    </row>
    <row r="14" spans="1:27" ht="45" x14ac:dyDescent="0.25">
      <c r="A14" s="226"/>
      <c r="B14" s="178" t="s">
        <v>486</v>
      </c>
      <c r="C14" s="244" t="s">
        <v>19</v>
      </c>
      <c r="D14" s="697">
        <f>SUM(F14:O14)</f>
        <v>75000</v>
      </c>
      <c r="E14" s="71"/>
      <c r="F14" s="551">
        <f>F9</f>
        <v>18333.333333333332</v>
      </c>
      <c r="G14" s="551">
        <f>G9</f>
        <v>56666.666666666664</v>
      </c>
      <c r="H14" s="551"/>
      <c r="I14" s="551"/>
      <c r="J14" s="551"/>
      <c r="K14" s="551"/>
      <c r="L14" s="551"/>
      <c r="M14" s="551"/>
      <c r="N14" s="551"/>
      <c r="O14" s="551"/>
      <c r="P14" s="385"/>
      <c r="Q14" s="159"/>
      <c r="R14" s="108"/>
      <c r="S14" s="108"/>
      <c r="T14" s="108"/>
      <c r="U14" s="108"/>
      <c r="V14" s="108"/>
      <c r="W14" s="71"/>
      <c r="X14" s="71"/>
      <c r="Y14" s="71"/>
      <c r="Z14" s="71"/>
      <c r="AA14" s="71"/>
    </row>
    <row r="15" spans="1:27" x14ac:dyDescent="0.25">
      <c r="A15" s="226"/>
      <c r="B15" s="178"/>
      <c r="C15" s="244"/>
      <c r="D15" s="697"/>
      <c r="E15" s="7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385"/>
      <c r="Q15" s="159"/>
      <c r="R15" s="108"/>
      <c r="S15" s="108"/>
      <c r="T15" s="108"/>
      <c r="U15" s="108"/>
      <c r="V15" s="108"/>
      <c r="W15" s="71"/>
      <c r="X15" s="71"/>
      <c r="Y15" s="71"/>
      <c r="Z15" s="71"/>
      <c r="AA15" s="71"/>
    </row>
    <row r="16" spans="1:27" x14ac:dyDescent="0.25">
      <c r="A16" s="226"/>
      <c r="B16" s="178" t="s">
        <v>352</v>
      </c>
      <c r="C16" s="244" t="s">
        <v>19</v>
      </c>
      <c r="D16" s="697">
        <f>SUM(F16:O16)</f>
        <v>58499.238095238084</v>
      </c>
      <c r="E16" s="71"/>
      <c r="F16" s="551">
        <f>SUMIF($B$22:$B$169,$B$16,F$22:F$169)</f>
        <v>0</v>
      </c>
      <c r="G16" s="551">
        <f t="shared" ref="G16:O16" si="7">SUMIF($B$22:$B$169,$B$16,G$22:G$169)</f>
        <v>0</v>
      </c>
      <c r="H16" s="551">
        <f t="shared" si="7"/>
        <v>12476.190476190475</v>
      </c>
      <c r="I16" s="551">
        <f t="shared" si="7"/>
        <v>12476.190476190475</v>
      </c>
      <c r="J16" s="551">
        <f t="shared" si="7"/>
        <v>11642.523809523809</v>
      </c>
      <c r="K16" s="551">
        <f t="shared" si="7"/>
        <v>7237.6666666666661</v>
      </c>
      <c r="L16" s="551">
        <f t="shared" si="7"/>
        <v>3666.6666666666661</v>
      </c>
      <c r="M16" s="551">
        <f t="shared" si="7"/>
        <v>3666.6666666666661</v>
      </c>
      <c r="N16" s="551">
        <f t="shared" si="7"/>
        <v>3666.6666666666661</v>
      </c>
      <c r="O16" s="551">
        <f t="shared" si="7"/>
        <v>3666.6666666666661</v>
      </c>
      <c r="P16" s="385"/>
      <c r="Q16" s="159"/>
      <c r="R16" s="108"/>
      <c r="S16" s="108"/>
      <c r="T16" s="108"/>
      <c r="U16" s="108"/>
      <c r="V16" s="108"/>
      <c r="W16" s="71"/>
      <c r="X16" s="71"/>
      <c r="Y16" s="71"/>
      <c r="Z16" s="71"/>
      <c r="AA16" s="71"/>
    </row>
    <row r="17" spans="1:22" x14ac:dyDescent="0.25">
      <c r="A17" s="226"/>
      <c r="B17" s="563"/>
      <c r="C17" s="244"/>
      <c r="D17" s="697"/>
      <c r="E17" s="7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385"/>
      <c r="Q17" s="159"/>
      <c r="R17" s="108"/>
      <c r="S17" s="108"/>
      <c r="T17" s="108"/>
      <c r="U17" s="108"/>
      <c r="V17" s="108"/>
    </row>
    <row r="18" spans="1:22" ht="30" x14ac:dyDescent="0.25">
      <c r="A18" s="702"/>
      <c r="B18" s="564" t="s">
        <v>351</v>
      </c>
      <c r="C18" s="699" t="s">
        <v>19</v>
      </c>
      <c r="D18" s="624"/>
      <c r="E18" s="71"/>
      <c r="F18" s="550">
        <f>SUMIF($B$22:$B$169,$B$18,F$22:F$169)</f>
        <v>18333.333333333332</v>
      </c>
      <c r="G18" s="550">
        <f t="shared" ref="G18:O18" si="8">SUMIF($B$22:$B$169,$B$18,G$22:G$169)</f>
        <v>75000</v>
      </c>
      <c r="H18" s="550">
        <f t="shared" si="8"/>
        <v>62523.809523809519</v>
      </c>
      <c r="I18" s="550">
        <f t="shared" si="8"/>
        <v>50047.619047619046</v>
      </c>
      <c r="J18" s="550">
        <f t="shared" si="8"/>
        <v>38405.095238095244</v>
      </c>
      <c r="K18" s="550">
        <f t="shared" si="8"/>
        <v>31167.428571428572</v>
      </c>
      <c r="L18" s="550">
        <f t="shared" si="8"/>
        <v>27500.761904761908</v>
      </c>
      <c r="M18" s="550">
        <f t="shared" si="8"/>
        <v>23834.095238095244</v>
      </c>
      <c r="N18" s="550">
        <f t="shared" si="8"/>
        <v>20167.42857142858</v>
      </c>
      <c r="O18" s="550">
        <f t="shared" si="8"/>
        <v>16500.761904761916</v>
      </c>
      <c r="P18" s="385"/>
      <c r="Q18" s="159"/>
      <c r="R18" s="108"/>
      <c r="S18" s="108"/>
      <c r="T18" s="108"/>
      <c r="U18" s="108"/>
      <c r="V18" s="108"/>
    </row>
    <row r="19" spans="1:22" x14ac:dyDescent="0.25">
      <c r="A19" s="89"/>
      <c r="B19" s="178"/>
      <c r="C19" s="89"/>
      <c r="D19" s="89"/>
      <c r="E19" s="71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71"/>
      <c r="Q19" s="159"/>
      <c r="R19" s="108"/>
      <c r="S19" s="108"/>
      <c r="T19" s="108"/>
      <c r="U19" s="108"/>
      <c r="V19" s="108"/>
    </row>
    <row r="20" spans="1:22" x14ac:dyDescent="0.25">
      <c r="A20" s="149"/>
      <c r="B20" s="412" t="s">
        <v>201</v>
      </c>
      <c r="C20" s="149"/>
      <c r="D20" s="149"/>
      <c r="E20" s="71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71"/>
      <c r="Q20" s="159"/>
      <c r="R20" s="108"/>
      <c r="S20" s="108"/>
      <c r="T20" s="108"/>
      <c r="U20" s="108"/>
      <c r="V20" s="108"/>
    </row>
    <row r="21" spans="1:22" outlineLevel="1" x14ac:dyDescent="0.25">
      <c r="A21" s="558"/>
      <c r="B21" s="565" t="s">
        <v>889</v>
      </c>
      <c r="C21" s="558"/>
      <c r="D21" s="558"/>
      <c r="E21" s="71"/>
      <c r="F21" s="558"/>
      <c r="G21" s="558"/>
      <c r="H21" s="558"/>
      <c r="I21" s="558"/>
      <c r="J21" s="558"/>
      <c r="K21" s="558"/>
      <c r="L21" s="558"/>
      <c r="M21" s="558"/>
      <c r="N21" s="558"/>
      <c r="O21" s="558"/>
      <c r="P21" s="720"/>
      <c r="Q21" s="159"/>
      <c r="R21" s="108"/>
      <c r="S21" s="108"/>
      <c r="T21" s="108"/>
      <c r="U21" s="108"/>
      <c r="V21" s="108"/>
    </row>
    <row r="22" spans="1:22" outlineLevel="1" x14ac:dyDescent="0.25">
      <c r="A22" s="226" t="str" cm="1">
        <f t="array" aca="1" ref="A22" ca="1">HYPERLINK(CELL("адрес",Исходные!A22),"источник")</f>
        <v>источник</v>
      </c>
      <c r="B22" s="178" t="s">
        <v>189</v>
      </c>
      <c r="C22" s="244" t="s">
        <v>19</v>
      </c>
      <c r="D22" s="246">
        <f>SUM(F22:O22)</f>
        <v>55000</v>
      </c>
      <c r="E22" s="71"/>
      <c r="F22" s="230">
        <f>Исходные!F22</f>
        <v>22000</v>
      </c>
      <c r="G22" s="230">
        <f>Исходные!G22</f>
        <v>33000</v>
      </c>
      <c r="H22" s="230">
        <f>Исходные!H22</f>
        <v>0</v>
      </c>
      <c r="I22" s="230">
        <f>Исходные!I22</f>
        <v>0</v>
      </c>
      <c r="J22" s="230">
        <f>Исходные!J22</f>
        <v>0</v>
      </c>
      <c r="K22" s="230">
        <f>Исходные!K22</f>
        <v>0</v>
      </c>
      <c r="L22" s="230">
        <f>Исходные!L22</f>
        <v>0</v>
      </c>
      <c r="M22" s="230">
        <f>Исходные!M22</f>
        <v>0</v>
      </c>
      <c r="N22" s="230">
        <f>Исходные!N22</f>
        <v>0</v>
      </c>
      <c r="O22" s="230">
        <f>Исходные!O22</f>
        <v>0</v>
      </c>
      <c r="P22" s="386"/>
      <c r="Q22" s="159"/>
      <c r="R22" s="108"/>
      <c r="S22" s="108"/>
      <c r="T22" s="108"/>
      <c r="U22" s="108"/>
      <c r="V22" s="108"/>
    </row>
    <row r="23" spans="1:22" outlineLevel="1" x14ac:dyDescent="0.25">
      <c r="A23" s="149"/>
      <c r="B23" s="178" t="s">
        <v>132</v>
      </c>
      <c r="C23" s="244" t="s">
        <v>19</v>
      </c>
      <c r="D23" s="246">
        <f>SUM(F23:O23)</f>
        <v>9166.6666666666679</v>
      </c>
      <c r="E23" s="71"/>
      <c r="F23" s="231">
        <f>F22/(1+Макро!F31)*Макро!F31</f>
        <v>3666.6666666666674</v>
      </c>
      <c r="G23" s="231">
        <f>G22/(1+Макро!G31)*Макро!G31</f>
        <v>5500</v>
      </c>
      <c r="H23" s="231">
        <f>H22/(1+Макро!H31)*Макро!H31</f>
        <v>0</v>
      </c>
      <c r="I23" s="231">
        <f>I22/(1+Макро!I31)*Макро!I31</f>
        <v>0</v>
      </c>
      <c r="J23" s="231">
        <f>J22/(1+Макро!J31)*Макро!J31</f>
        <v>0</v>
      </c>
      <c r="K23" s="231">
        <f>K22/(1+Макро!K31)*Макро!K31</f>
        <v>0</v>
      </c>
      <c r="L23" s="231">
        <f>L22/(1+Макро!L31)*Макро!L31</f>
        <v>0</v>
      </c>
      <c r="M23" s="231">
        <f>M22/(1+Макро!M31)*Макро!M31</f>
        <v>0</v>
      </c>
      <c r="N23" s="231">
        <f>N22/(1+Макро!N31)*Макро!N31</f>
        <v>0</v>
      </c>
      <c r="O23" s="231">
        <f>O22/(1+Макро!O31)*Макро!O31</f>
        <v>0</v>
      </c>
      <c r="P23" s="390"/>
      <c r="Q23" s="159"/>
      <c r="R23" s="108"/>
      <c r="S23" s="108"/>
      <c r="T23" s="108"/>
      <c r="U23" s="108"/>
      <c r="V23" s="108"/>
    </row>
    <row r="24" spans="1:22" ht="30" outlineLevel="1" x14ac:dyDescent="0.25">
      <c r="A24" s="149"/>
      <c r="B24" s="178" t="s">
        <v>485</v>
      </c>
      <c r="C24" s="244" t="s">
        <v>19</v>
      </c>
      <c r="D24" s="246">
        <f>SUM(F24:O24)</f>
        <v>45833.333333333328</v>
      </c>
      <c r="E24" s="71"/>
      <c r="F24" s="231">
        <f t="shared" ref="F24:O24" si="9">F22-F23</f>
        <v>18333.333333333332</v>
      </c>
      <c r="G24" s="231">
        <f t="shared" si="9"/>
        <v>27500</v>
      </c>
      <c r="H24" s="231">
        <f t="shared" si="9"/>
        <v>0</v>
      </c>
      <c r="I24" s="231">
        <f t="shared" si="9"/>
        <v>0</v>
      </c>
      <c r="J24" s="231">
        <f t="shared" si="9"/>
        <v>0</v>
      </c>
      <c r="K24" s="231">
        <f t="shared" si="9"/>
        <v>0</v>
      </c>
      <c r="L24" s="231">
        <f t="shared" si="9"/>
        <v>0</v>
      </c>
      <c r="M24" s="231">
        <f t="shared" si="9"/>
        <v>0</v>
      </c>
      <c r="N24" s="231">
        <f t="shared" si="9"/>
        <v>0</v>
      </c>
      <c r="O24" s="231">
        <f t="shared" si="9"/>
        <v>0</v>
      </c>
      <c r="P24" s="390"/>
      <c r="Q24" s="159"/>
      <c r="R24" s="108"/>
      <c r="S24" s="108"/>
      <c r="T24" s="108"/>
      <c r="U24" s="108"/>
      <c r="V24" s="108"/>
    </row>
    <row r="25" spans="1:22" ht="30" outlineLevel="1" x14ac:dyDescent="0.25">
      <c r="A25" s="149"/>
      <c r="B25" s="178" t="s">
        <v>130</v>
      </c>
      <c r="C25" s="244" t="s">
        <v>131</v>
      </c>
      <c r="D25" s="143">
        <v>25</v>
      </c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  <c r="Q25" s="159"/>
      <c r="R25" s="108"/>
      <c r="S25" s="108"/>
      <c r="T25" s="108"/>
      <c r="U25" s="108"/>
      <c r="V25" s="108"/>
    </row>
    <row r="26" spans="1:22" outlineLevel="1" x14ac:dyDescent="0.25">
      <c r="A26" s="149"/>
      <c r="B26" s="178" t="s">
        <v>101</v>
      </c>
      <c r="C26" s="244" t="s">
        <v>19</v>
      </c>
      <c r="D26" s="246">
        <f>SUM(F26:O26)</f>
        <v>14666.666666666661</v>
      </c>
      <c r="E26" s="71"/>
      <c r="F26" s="149"/>
      <c r="G26" s="231"/>
      <c r="H26" s="231">
        <f t="shared" ref="H26:O26" si="10">IF(H27&gt;=0,$D$24/$D$25,0)</f>
        <v>1833.333333333333</v>
      </c>
      <c r="I26" s="231">
        <f t="shared" si="10"/>
        <v>1833.333333333333</v>
      </c>
      <c r="J26" s="231">
        <f t="shared" si="10"/>
        <v>1833.333333333333</v>
      </c>
      <c r="K26" s="231">
        <f t="shared" si="10"/>
        <v>1833.333333333333</v>
      </c>
      <c r="L26" s="231">
        <f t="shared" si="10"/>
        <v>1833.333333333333</v>
      </c>
      <c r="M26" s="231">
        <f t="shared" si="10"/>
        <v>1833.333333333333</v>
      </c>
      <c r="N26" s="231">
        <f t="shared" si="10"/>
        <v>1833.333333333333</v>
      </c>
      <c r="O26" s="231">
        <f t="shared" si="10"/>
        <v>1833.333333333333</v>
      </c>
      <c r="P26" s="390"/>
      <c r="Q26" s="159"/>
      <c r="R26" s="108"/>
      <c r="S26" s="108"/>
      <c r="T26" s="108"/>
      <c r="U26" s="108"/>
      <c r="V26" s="108"/>
    </row>
    <row r="27" spans="1:22" outlineLevel="1" x14ac:dyDescent="0.25">
      <c r="A27" s="149"/>
      <c r="B27" s="563" t="s">
        <v>136</v>
      </c>
      <c r="C27" s="244"/>
      <c r="D27" s="563"/>
      <c r="E27" s="71"/>
      <c r="F27" s="149"/>
      <c r="G27" s="454">
        <f>D25</f>
        <v>25</v>
      </c>
      <c r="H27" s="454">
        <f t="shared" ref="H27:O27" si="11">G27-1</f>
        <v>24</v>
      </c>
      <c r="I27" s="454">
        <f t="shared" si="11"/>
        <v>23</v>
      </c>
      <c r="J27" s="454">
        <f t="shared" si="11"/>
        <v>22</v>
      </c>
      <c r="K27" s="454">
        <f t="shared" si="11"/>
        <v>21</v>
      </c>
      <c r="L27" s="454">
        <f t="shared" si="11"/>
        <v>20</v>
      </c>
      <c r="M27" s="454">
        <f t="shared" si="11"/>
        <v>19</v>
      </c>
      <c r="N27" s="454">
        <f t="shared" si="11"/>
        <v>18</v>
      </c>
      <c r="O27" s="454">
        <f t="shared" si="11"/>
        <v>17</v>
      </c>
      <c r="P27" s="454"/>
      <c r="Q27" s="159"/>
      <c r="R27" s="108"/>
      <c r="S27" s="108"/>
      <c r="T27" s="108"/>
      <c r="U27" s="108"/>
      <c r="V27" s="108"/>
    </row>
    <row r="28" spans="1:22" outlineLevel="1" x14ac:dyDescent="0.25">
      <c r="A28" s="559"/>
      <c r="B28" s="564" t="s">
        <v>190</v>
      </c>
      <c r="C28" s="699" t="s">
        <v>19</v>
      </c>
      <c r="D28" s="559"/>
      <c r="E28" s="71"/>
      <c r="F28" s="554">
        <f>F24</f>
        <v>18333.333333333332</v>
      </c>
      <c r="G28" s="554">
        <f>F28+G24</f>
        <v>45833.333333333328</v>
      </c>
      <c r="H28" s="554">
        <f t="shared" ref="H28:O28" si="12">G28-H26</f>
        <v>43999.999999999993</v>
      </c>
      <c r="I28" s="554">
        <f t="shared" si="12"/>
        <v>42166.666666666657</v>
      </c>
      <c r="J28" s="554">
        <f t="shared" si="12"/>
        <v>40333.333333333321</v>
      </c>
      <c r="K28" s="554">
        <f t="shared" si="12"/>
        <v>38499.999999999985</v>
      </c>
      <c r="L28" s="554">
        <f t="shared" si="12"/>
        <v>36666.66666666665</v>
      </c>
      <c r="M28" s="554">
        <f t="shared" si="12"/>
        <v>34833.333333333314</v>
      </c>
      <c r="N28" s="554">
        <f t="shared" si="12"/>
        <v>32999.999999999978</v>
      </c>
      <c r="O28" s="554">
        <f t="shared" si="12"/>
        <v>31166.666666666646</v>
      </c>
      <c r="P28" s="390"/>
      <c r="Q28" s="159"/>
      <c r="R28" s="108"/>
      <c r="S28" s="108"/>
      <c r="T28" s="108"/>
      <c r="U28" s="108"/>
      <c r="V28" s="108"/>
    </row>
    <row r="29" spans="1:22" outlineLevel="1" x14ac:dyDescent="0.25">
      <c r="A29" s="560"/>
      <c r="B29" s="566"/>
      <c r="C29" s="454"/>
      <c r="D29" s="560"/>
      <c r="E29" s="71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390"/>
      <c r="Q29" s="159"/>
      <c r="R29" s="108"/>
      <c r="S29" s="108"/>
      <c r="T29" s="108"/>
      <c r="U29" s="108"/>
      <c r="V29" s="108"/>
    </row>
    <row r="30" spans="1:22" outlineLevel="1" x14ac:dyDescent="0.25">
      <c r="A30" s="149"/>
      <c r="B30" s="562" t="s">
        <v>451</v>
      </c>
      <c r="C30" s="244"/>
      <c r="D30" s="560"/>
      <c r="E30" s="71"/>
      <c r="F30" s="555"/>
      <c r="G30" s="555"/>
      <c r="H30" s="555"/>
      <c r="I30" s="555"/>
      <c r="J30" s="555"/>
      <c r="K30" s="555"/>
      <c r="L30" s="555"/>
      <c r="M30" s="555"/>
      <c r="N30" s="555"/>
      <c r="O30" s="555"/>
      <c r="P30" s="390"/>
      <c r="Q30" s="159"/>
      <c r="R30" s="108"/>
      <c r="S30" s="108"/>
      <c r="T30" s="108"/>
      <c r="U30" s="108"/>
      <c r="V30" s="108"/>
    </row>
    <row r="31" spans="1:22" outlineLevel="1" x14ac:dyDescent="0.25">
      <c r="A31" s="226" t="str" cm="1">
        <f t="array" aca="1" ref="A31" ca="1">HYPERLINK(CELL("адрес",Макро!A70),"источник")</f>
        <v>источник</v>
      </c>
      <c r="B31" s="566" t="s">
        <v>450</v>
      </c>
      <c r="C31" s="244" t="s">
        <v>120</v>
      </c>
      <c r="D31" s="560"/>
      <c r="E31" s="71"/>
      <c r="F31" s="556">
        <f>Макро!F70</f>
        <v>2</v>
      </c>
      <c r="G31" s="556">
        <f>Макро!G70</f>
        <v>2</v>
      </c>
      <c r="H31" s="556">
        <f>Макро!H70</f>
        <v>2</v>
      </c>
      <c r="I31" s="556">
        <f>Макро!I70</f>
        <v>2</v>
      </c>
      <c r="J31" s="556">
        <f>Макро!J70</f>
        <v>2</v>
      </c>
      <c r="K31" s="556">
        <f>Макро!K70</f>
        <v>2</v>
      </c>
      <c r="L31" s="556">
        <f>Макро!L70</f>
        <v>2</v>
      </c>
      <c r="M31" s="556">
        <f>Макро!M70</f>
        <v>2</v>
      </c>
      <c r="N31" s="556">
        <f>Макро!N70</f>
        <v>2</v>
      </c>
      <c r="O31" s="556">
        <f>Макро!O70</f>
        <v>2</v>
      </c>
      <c r="P31" s="721"/>
      <c r="Q31" s="159"/>
      <c r="R31" s="108"/>
      <c r="S31" s="108"/>
      <c r="T31" s="108"/>
      <c r="U31" s="108"/>
      <c r="V31" s="108"/>
    </row>
    <row r="32" spans="1:22" ht="45" outlineLevel="1" x14ac:dyDescent="0.25">
      <c r="A32" s="149"/>
      <c r="B32" s="178" t="s">
        <v>486</v>
      </c>
      <c r="C32" s="244" t="s">
        <v>19</v>
      </c>
      <c r="D32" s="246">
        <f>SUM(F32:O32)</f>
        <v>45833.333333333328</v>
      </c>
      <c r="E32" s="71"/>
      <c r="F32" s="231">
        <f>F24</f>
        <v>18333.333333333332</v>
      </c>
      <c r="G32" s="231">
        <f t="shared" ref="G32:O32" si="13">G24</f>
        <v>27500</v>
      </c>
      <c r="H32" s="231">
        <f t="shared" si="13"/>
        <v>0</v>
      </c>
      <c r="I32" s="231">
        <f t="shared" si="13"/>
        <v>0</v>
      </c>
      <c r="J32" s="231">
        <f t="shared" si="13"/>
        <v>0</v>
      </c>
      <c r="K32" s="231">
        <f t="shared" si="13"/>
        <v>0</v>
      </c>
      <c r="L32" s="231">
        <f t="shared" si="13"/>
        <v>0</v>
      </c>
      <c r="M32" s="231">
        <f t="shared" si="13"/>
        <v>0</v>
      </c>
      <c r="N32" s="231">
        <f t="shared" si="13"/>
        <v>0</v>
      </c>
      <c r="O32" s="231">
        <f t="shared" si="13"/>
        <v>0</v>
      </c>
      <c r="P32" s="390"/>
      <c r="Q32" s="159"/>
      <c r="R32" s="108"/>
      <c r="S32" s="108"/>
      <c r="T32" s="108"/>
      <c r="U32" s="108"/>
      <c r="V32" s="108"/>
    </row>
    <row r="33" spans="1:22" outlineLevel="1" x14ac:dyDescent="0.25">
      <c r="A33" s="149"/>
      <c r="B33" s="178"/>
      <c r="C33" s="244"/>
      <c r="D33" s="560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71"/>
      <c r="Q33" s="159"/>
      <c r="R33" s="108"/>
      <c r="S33" s="108"/>
      <c r="T33" s="108"/>
      <c r="U33" s="108"/>
      <c r="V33" s="108"/>
    </row>
    <row r="34" spans="1:22" outlineLevel="1" x14ac:dyDescent="0.25">
      <c r="A34" s="149"/>
      <c r="B34" s="178" t="s">
        <v>352</v>
      </c>
      <c r="C34" s="244" t="s">
        <v>19</v>
      </c>
      <c r="D34" s="246">
        <f>SUM(F34:O34)</f>
        <v>29333.333333333321</v>
      </c>
      <c r="E34" s="71"/>
      <c r="F34" s="149"/>
      <c r="G34" s="231"/>
      <c r="H34" s="231">
        <f>H26*H31</f>
        <v>3666.6666666666661</v>
      </c>
      <c r="I34" s="231">
        <f t="shared" ref="I34:O34" si="14">I26*I31</f>
        <v>3666.6666666666661</v>
      </c>
      <c r="J34" s="231">
        <f t="shared" si="14"/>
        <v>3666.6666666666661</v>
      </c>
      <c r="K34" s="231">
        <f t="shared" si="14"/>
        <v>3666.6666666666661</v>
      </c>
      <c r="L34" s="231">
        <f t="shared" si="14"/>
        <v>3666.6666666666661</v>
      </c>
      <c r="M34" s="231">
        <f t="shared" si="14"/>
        <v>3666.6666666666661</v>
      </c>
      <c r="N34" s="231">
        <f t="shared" si="14"/>
        <v>3666.6666666666661</v>
      </c>
      <c r="O34" s="231">
        <f t="shared" si="14"/>
        <v>3666.6666666666661</v>
      </c>
      <c r="P34" s="390"/>
      <c r="Q34" s="159"/>
      <c r="R34" s="108"/>
      <c r="S34" s="108"/>
      <c r="T34" s="108"/>
      <c r="U34" s="108"/>
      <c r="V34" s="108"/>
    </row>
    <row r="35" spans="1:22" outlineLevel="1" x14ac:dyDescent="0.25">
      <c r="A35" s="149"/>
      <c r="B35" s="563"/>
      <c r="C35" s="244"/>
      <c r="D35" s="563"/>
      <c r="E35" s="71"/>
      <c r="F35" s="149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159"/>
      <c r="R35" s="108"/>
      <c r="S35" s="108"/>
      <c r="T35" s="108"/>
      <c r="U35" s="108"/>
      <c r="V35" s="108"/>
    </row>
    <row r="36" spans="1:22" ht="30" outlineLevel="1" x14ac:dyDescent="0.25">
      <c r="A36" s="559"/>
      <c r="B36" s="564" t="s">
        <v>351</v>
      </c>
      <c r="C36" s="699" t="s">
        <v>19</v>
      </c>
      <c r="D36" s="559"/>
      <c r="E36" s="71"/>
      <c r="F36" s="554">
        <f>F32</f>
        <v>18333.333333333332</v>
      </c>
      <c r="G36" s="554">
        <f>F36+G32</f>
        <v>45833.333333333328</v>
      </c>
      <c r="H36" s="554">
        <f t="shared" ref="H36:O36" si="15">G36-H34</f>
        <v>42166.666666666664</v>
      </c>
      <c r="I36" s="554">
        <f t="shared" si="15"/>
        <v>38500</v>
      </c>
      <c r="J36" s="554">
        <f t="shared" si="15"/>
        <v>34833.333333333336</v>
      </c>
      <c r="K36" s="554">
        <f t="shared" si="15"/>
        <v>31166.666666666672</v>
      </c>
      <c r="L36" s="554">
        <f t="shared" si="15"/>
        <v>27500.000000000007</v>
      </c>
      <c r="M36" s="554">
        <f t="shared" si="15"/>
        <v>23833.333333333343</v>
      </c>
      <c r="N36" s="554">
        <f t="shared" si="15"/>
        <v>20166.666666666679</v>
      </c>
      <c r="O36" s="554">
        <f t="shared" si="15"/>
        <v>16500.000000000015</v>
      </c>
      <c r="P36" s="390"/>
      <c r="Q36" s="159"/>
      <c r="R36" s="108"/>
      <c r="S36" s="108"/>
      <c r="T36" s="108"/>
      <c r="U36" s="108"/>
      <c r="V36" s="108"/>
    </row>
    <row r="37" spans="1:22" outlineLevel="1" x14ac:dyDescent="0.25">
      <c r="A37" s="89"/>
      <c r="B37" s="180"/>
      <c r="C37" s="454"/>
      <c r="D37" s="89"/>
      <c r="E37" s="71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71"/>
      <c r="Q37" s="159"/>
      <c r="R37" s="108"/>
      <c r="S37" s="108"/>
      <c r="T37" s="108"/>
      <c r="U37" s="108"/>
      <c r="V37" s="108"/>
    </row>
    <row r="38" spans="1:22" outlineLevel="1" x14ac:dyDescent="0.25">
      <c r="A38" s="558"/>
      <c r="B38" s="558" t="s">
        <v>133</v>
      </c>
      <c r="C38" s="558"/>
      <c r="D38" s="558"/>
      <c r="E38" s="71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720"/>
      <c r="Q38" s="159"/>
      <c r="R38" s="108"/>
      <c r="S38" s="108"/>
      <c r="T38" s="108"/>
      <c r="U38" s="108"/>
      <c r="V38" s="108"/>
    </row>
    <row r="39" spans="1:22" outlineLevel="1" x14ac:dyDescent="0.25">
      <c r="A39" s="226" t="str" cm="1">
        <f t="array" aca="1" ref="A39" ca="1">HYPERLINK(CELL("адрес",Исходные!A23),"источник")</f>
        <v>источник</v>
      </c>
      <c r="B39" s="178" t="s">
        <v>189</v>
      </c>
      <c r="C39" s="244" t="s">
        <v>19</v>
      </c>
      <c r="D39" s="248">
        <f>SUM(F39:O39)</f>
        <v>30000</v>
      </c>
      <c r="E39" s="71"/>
      <c r="F39" s="230">
        <f>Исходные!F23</f>
        <v>0</v>
      </c>
      <c r="G39" s="230">
        <f>Исходные!G23</f>
        <v>30000</v>
      </c>
      <c r="H39" s="230">
        <f>Исходные!H23</f>
        <v>0</v>
      </c>
      <c r="I39" s="230">
        <f>Исходные!I23</f>
        <v>0</v>
      </c>
      <c r="J39" s="230">
        <f>Исходные!J23</f>
        <v>0</v>
      </c>
      <c r="K39" s="230">
        <f>Исходные!K23</f>
        <v>0</v>
      </c>
      <c r="L39" s="230">
        <f>Исходные!L23</f>
        <v>0</v>
      </c>
      <c r="M39" s="230">
        <f>Исходные!M23</f>
        <v>0</v>
      </c>
      <c r="N39" s="230">
        <f>Исходные!N23</f>
        <v>0</v>
      </c>
      <c r="O39" s="230">
        <f>Исходные!O23</f>
        <v>0</v>
      </c>
      <c r="P39" s="386"/>
      <c r="Q39" s="159"/>
      <c r="R39" s="108"/>
      <c r="S39" s="108"/>
      <c r="T39" s="108"/>
      <c r="U39" s="108"/>
      <c r="V39" s="108"/>
    </row>
    <row r="40" spans="1:22" outlineLevel="1" x14ac:dyDescent="0.25">
      <c r="A40" s="149"/>
      <c r="B40" s="178" t="s">
        <v>132</v>
      </c>
      <c r="C40" s="244" t="s">
        <v>19</v>
      </c>
      <c r="D40" s="248">
        <f>SUM(F40:O40)</f>
        <v>5000</v>
      </c>
      <c r="E40" s="71"/>
      <c r="F40" s="231">
        <f>F39/(1+Макро!F31)*Макро!F31</f>
        <v>0</v>
      </c>
      <c r="G40" s="231">
        <f>G39/(1+Макро!G31)*Макро!G31</f>
        <v>5000</v>
      </c>
      <c r="H40" s="231">
        <f>H39/(1+Макро!H31)*Макро!H31</f>
        <v>0</v>
      </c>
      <c r="I40" s="231">
        <f>I39/(1+Макро!I31)*Макро!I31</f>
        <v>0</v>
      </c>
      <c r="J40" s="231">
        <f>J39/(1+Макро!J31)*Макро!J31</f>
        <v>0</v>
      </c>
      <c r="K40" s="231">
        <f>K39/(1+Макро!K31)*Макро!K31</f>
        <v>0</v>
      </c>
      <c r="L40" s="231">
        <f>L39/(1+Макро!L31)*Макро!L31</f>
        <v>0</v>
      </c>
      <c r="M40" s="231">
        <f>M39/(1+Макро!M31)*Макро!M31</f>
        <v>0</v>
      </c>
      <c r="N40" s="231">
        <f>N39/(1+Макро!N31)*Макро!N31</f>
        <v>0</v>
      </c>
      <c r="O40" s="231">
        <f>O39/(1+Макро!O31)*Макро!O31</f>
        <v>0</v>
      </c>
      <c r="P40" s="390"/>
      <c r="Q40" s="159"/>
      <c r="R40" s="108"/>
      <c r="S40" s="108"/>
      <c r="T40" s="108"/>
      <c r="U40" s="108"/>
      <c r="V40" s="108"/>
    </row>
    <row r="41" spans="1:22" ht="30" outlineLevel="1" x14ac:dyDescent="0.25">
      <c r="A41" s="149"/>
      <c r="B41" s="178" t="s">
        <v>485</v>
      </c>
      <c r="C41" s="244" t="s">
        <v>19</v>
      </c>
      <c r="D41" s="248">
        <f>SUM(F41:O41)</f>
        <v>25000</v>
      </c>
      <c r="E41" s="71"/>
      <c r="F41" s="231">
        <f t="shared" ref="F41:O41" si="16">F39-F40</f>
        <v>0</v>
      </c>
      <c r="G41" s="231">
        <f t="shared" si="16"/>
        <v>25000</v>
      </c>
      <c r="H41" s="231">
        <f t="shared" si="16"/>
        <v>0</v>
      </c>
      <c r="I41" s="231">
        <f t="shared" si="16"/>
        <v>0</v>
      </c>
      <c r="J41" s="231">
        <f t="shared" si="16"/>
        <v>0</v>
      </c>
      <c r="K41" s="231">
        <f t="shared" si="16"/>
        <v>0</v>
      </c>
      <c r="L41" s="231">
        <f t="shared" si="16"/>
        <v>0</v>
      </c>
      <c r="M41" s="231">
        <f t="shared" si="16"/>
        <v>0</v>
      </c>
      <c r="N41" s="231">
        <f t="shared" si="16"/>
        <v>0</v>
      </c>
      <c r="O41" s="231">
        <f t="shared" si="16"/>
        <v>0</v>
      </c>
      <c r="P41" s="390"/>
      <c r="Q41" s="159"/>
      <c r="R41" s="108"/>
      <c r="S41" s="108"/>
      <c r="T41" s="108"/>
      <c r="U41" s="108"/>
      <c r="V41" s="108"/>
    </row>
    <row r="42" spans="1:22" ht="30" outlineLevel="1" x14ac:dyDescent="0.25">
      <c r="A42" s="149"/>
      <c r="B42" s="178" t="s">
        <v>130</v>
      </c>
      <c r="C42" s="244" t="s">
        <v>131</v>
      </c>
      <c r="D42" s="143">
        <v>7</v>
      </c>
      <c r="E42" s="71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71"/>
      <c r="Q42" s="159"/>
      <c r="R42" s="108"/>
      <c r="S42" s="108"/>
      <c r="T42" s="108"/>
      <c r="U42" s="108"/>
      <c r="V42" s="108"/>
    </row>
    <row r="43" spans="1:22" outlineLevel="1" x14ac:dyDescent="0.25">
      <c r="A43" s="149"/>
      <c r="B43" s="178" t="s">
        <v>101</v>
      </c>
      <c r="C43" s="244" t="s">
        <v>19</v>
      </c>
      <c r="D43" s="248">
        <f>SUM(F43:O43)</f>
        <v>25000.000000000004</v>
      </c>
      <c r="E43" s="71"/>
      <c r="F43" s="149"/>
      <c r="G43" s="231"/>
      <c r="H43" s="231">
        <f t="shared" ref="H43:O43" si="17">IF(H44&gt;=0,$D$41/$D$42,0)</f>
        <v>3571.4285714285716</v>
      </c>
      <c r="I43" s="231">
        <f t="shared" si="17"/>
        <v>3571.4285714285716</v>
      </c>
      <c r="J43" s="231">
        <f t="shared" si="17"/>
        <v>3571.4285714285716</v>
      </c>
      <c r="K43" s="231">
        <f t="shared" si="17"/>
        <v>3571.4285714285716</v>
      </c>
      <c r="L43" s="231">
        <f t="shared" si="17"/>
        <v>3571.4285714285716</v>
      </c>
      <c r="M43" s="231">
        <f t="shared" si="17"/>
        <v>3571.4285714285716</v>
      </c>
      <c r="N43" s="231">
        <f t="shared" si="17"/>
        <v>3571.4285714285716</v>
      </c>
      <c r="O43" s="231">
        <f t="shared" si="17"/>
        <v>0</v>
      </c>
      <c r="P43" s="390"/>
      <c r="Q43" s="159"/>
      <c r="R43" s="108"/>
      <c r="S43" s="108"/>
      <c r="T43" s="108"/>
      <c r="U43" s="108"/>
      <c r="V43" s="108"/>
    </row>
    <row r="44" spans="1:22" outlineLevel="1" x14ac:dyDescent="0.25">
      <c r="A44" s="149"/>
      <c r="B44" s="563" t="s">
        <v>136</v>
      </c>
      <c r="C44" s="244"/>
      <c r="D44" s="698"/>
      <c r="E44" s="71"/>
      <c r="F44" s="149"/>
      <c r="G44" s="454">
        <f>D42</f>
        <v>7</v>
      </c>
      <c r="H44" s="454">
        <f t="shared" ref="H44:O44" si="18">G44-1</f>
        <v>6</v>
      </c>
      <c r="I44" s="454">
        <f t="shared" si="18"/>
        <v>5</v>
      </c>
      <c r="J44" s="454">
        <f t="shared" si="18"/>
        <v>4</v>
      </c>
      <c r="K44" s="454">
        <f t="shared" si="18"/>
        <v>3</v>
      </c>
      <c r="L44" s="454">
        <f t="shared" si="18"/>
        <v>2</v>
      </c>
      <c r="M44" s="454">
        <f t="shared" si="18"/>
        <v>1</v>
      </c>
      <c r="N44" s="454">
        <f t="shared" si="18"/>
        <v>0</v>
      </c>
      <c r="O44" s="454">
        <f t="shared" si="18"/>
        <v>-1</v>
      </c>
      <c r="P44" s="454"/>
      <c r="Q44" s="159"/>
      <c r="R44" s="108"/>
      <c r="S44" s="108"/>
      <c r="T44" s="108"/>
      <c r="U44" s="108"/>
      <c r="V44" s="108"/>
    </row>
    <row r="45" spans="1:22" outlineLevel="1" x14ac:dyDescent="0.25">
      <c r="A45" s="559"/>
      <c r="B45" s="564" t="s">
        <v>190</v>
      </c>
      <c r="C45" s="699" t="s">
        <v>19</v>
      </c>
      <c r="D45" s="559"/>
      <c r="E45" s="71"/>
      <c r="F45" s="554">
        <f>F41</f>
        <v>0</v>
      </c>
      <c r="G45" s="554">
        <f>F45+G41</f>
        <v>25000</v>
      </c>
      <c r="H45" s="554">
        <f t="shared" ref="H45:O45" si="19">G45-H43</f>
        <v>21428.571428571428</v>
      </c>
      <c r="I45" s="554">
        <f t="shared" si="19"/>
        <v>17857.142857142855</v>
      </c>
      <c r="J45" s="554">
        <f t="shared" si="19"/>
        <v>14285.714285714283</v>
      </c>
      <c r="K45" s="554">
        <f t="shared" si="19"/>
        <v>10714.28571428571</v>
      </c>
      <c r="L45" s="554">
        <f t="shared" si="19"/>
        <v>7142.8571428571386</v>
      </c>
      <c r="M45" s="554">
        <f t="shared" si="19"/>
        <v>3571.428571428567</v>
      </c>
      <c r="N45" s="554">
        <f t="shared" si="19"/>
        <v>-4.5474735088646412E-12</v>
      </c>
      <c r="O45" s="554">
        <f t="shared" si="19"/>
        <v>-4.5474735088646412E-12</v>
      </c>
      <c r="P45" s="390"/>
      <c r="Q45" s="159"/>
      <c r="R45" s="108"/>
      <c r="S45" s="108"/>
      <c r="T45" s="108"/>
      <c r="U45" s="108"/>
      <c r="V45" s="108"/>
    </row>
    <row r="46" spans="1:22" outlineLevel="1" x14ac:dyDescent="0.25">
      <c r="A46" s="133"/>
      <c r="B46" s="182"/>
      <c r="C46" s="454"/>
      <c r="D46" s="133"/>
      <c r="E46" s="71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90"/>
      <c r="Q46" s="159"/>
      <c r="R46" s="108"/>
      <c r="S46" s="108"/>
      <c r="T46" s="108"/>
      <c r="U46" s="108"/>
      <c r="V46" s="108"/>
    </row>
    <row r="47" spans="1:22" outlineLevel="1" x14ac:dyDescent="0.25">
      <c r="A47" s="149"/>
      <c r="B47" s="562" t="s">
        <v>451</v>
      </c>
      <c r="C47" s="244"/>
      <c r="D47" s="560"/>
      <c r="E47" s="71"/>
      <c r="F47" s="555"/>
      <c r="G47" s="555"/>
      <c r="H47" s="555"/>
      <c r="I47" s="555"/>
      <c r="J47" s="555"/>
      <c r="K47" s="555"/>
      <c r="L47" s="555"/>
      <c r="M47" s="555"/>
      <c r="N47" s="555"/>
      <c r="O47" s="555"/>
      <c r="P47" s="390"/>
      <c r="Q47" s="159"/>
      <c r="R47" s="108"/>
      <c r="S47" s="108"/>
      <c r="T47" s="108"/>
      <c r="U47" s="108"/>
      <c r="V47" s="108"/>
    </row>
    <row r="48" spans="1:22" outlineLevel="1" x14ac:dyDescent="0.25">
      <c r="A48" s="226" t="str" cm="1">
        <f t="array" aca="1" ref="A48" ca="1">HYPERLINK(CELL("адрес",Макро!A70),"источник")</f>
        <v>источник</v>
      </c>
      <c r="B48" s="566" t="s">
        <v>450</v>
      </c>
      <c r="C48" s="244" t="s">
        <v>120</v>
      </c>
      <c r="D48" s="560"/>
      <c r="E48" s="71"/>
      <c r="F48" s="556">
        <f>Макро!F70</f>
        <v>2</v>
      </c>
      <c r="G48" s="556">
        <f>Макро!G70</f>
        <v>2</v>
      </c>
      <c r="H48" s="556">
        <f>Макро!H70</f>
        <v>2</v>
      </c>
      <c r="I48" s="556">
        <f>Макро!I70</f>
        <v>2</v>
      </c>
      <c r="J48" s="556">
        <f>Макро!J70</f>
        <v>2</v>
      </c>
      <c r="K48" s="556">
        <f>Макро!K70</f>
        <v>2</v>
      </c>
      <c r="L48" s="556">
        <f>Макро!L70</f>
        <v>2</v>
      </c>
      <c r="M48" s="556">
        <f>Макро!M70</f>
        <v>2</v>
      </c>
      <c r="N48" s="556">
        <f>Макро!N70</f>
        <v>2</v>
      </c>
      <c r="O48" s="556">
        <f>Макро!O70</f>
        <v>2</v>
      </c>
      <c r="P48" s="721"/>
      <c r="Q48" s="159"/>
      <c r="R48" s="108"/>
      <c r="S48" s="108"/>
      <c r="T48" s="108"/>
      <c r="U48" s="108"/>
      <c r="V48" s="108"/>
    </row>
    <row r="49" spans="1:22" ht="45" outlineLevel="1" x14ac:dyDescent="0.25">
      <c r="A49" s="149"/>
      <c r="B49" s="178" t="s">
        <v>486</v>
      </c>
      <c r="C49" s="244" t="s">
        <v>19</v>
      </c>
      <c r="D49" s="246">
        <f>SUM(F49:O49)</f>
        <v>25000</v>
      </c>
      <c r="E49" s="71"/>
      <c r="F49" s="231">
        <f>F41</f>
        <v>0</v>
      </c>
      <c r="G49" s="231">
        <f t="shared" ref="G49:O49" si="20">G41</f>
        <v>25000</v>
      </c>
      <c r="H49" s="231">
        <f t="shared" si="20"/>
        <v>0</v>
      </c>
      <c r="I49" s="231">
        <f t="shared" si="20"/>
        <v>0</v>
      </c>
      <c r="J49" s="231">
        <f t="shared" si="20"/>
        <v>0</v>
      </c>
      <c r="K49" s="231">
        <f t="shared" si="20"/>
        <v>0</v>
      </c>
      <c r="L49" s="231">
        <f t="shared" si="20"/>
        <v>0</v>
      </c>
      <c r="M49" s="231">
        <f t="shared" si="20"/>
        <v>0</v>
      </c>
      <c r="N49" s="231">
        <f t="shared" si="20"/>
        <v>0</v>
      </c>
      <c r="O49" s="231">
        <f t="shared" si="20"/>
        <v>0</v>
      </c>
      <c r="P49" s="390"/>
      <c r="Q49" s="159"/>
      <c r="R49" s="108"/>
      <c r="S49" s="108"/>
      <c r="T49" s="108"/>
      <c r="U49" s="108"/>
      <c r="V49" s="108"/>
    </row>
    <row r="50" spans="1:22" outlineLevel="1" x14ac:dyDescent="0.25">
      <c r="A50" s="149"/>
      <c r="B50" s="178"/>
      <c r="C50" s="244"/>
      <c r="D50" s="560"/>
      <c r="E50" s="71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71"/>
      <c r="Q50" s="159"/>
      <c r="R50" s="108"/>
      <c r="S50" s="108"/>
      <c r="T50" s="108"/>
      <c r="U50" s="108"/>
      <c r="V50" s="108"/>
    </row>
    <row r="51" spans="1:22" outlineLevel="1" x14ac:dyDescent="0.25">
      <c r="A51" s="149"/>
      <c r="B51" s="178" t="s">
        <v>352</v>
      </c>
      <c r="C51" s="244" t="s">
        <v>19</v>
      </c>
      <c r="D51" s="246">
        <f>SUM(F51:O51)</f>
        <v>24999.571428571428</v>
      </c>
      <c r="E51" s="71"/>
      <c r="F51" s="149"/>
      <c r="G51" s="231"/>
      <c r="H51" s="231">
        <f>H43*H48</f>
        <v>7142.8571428571431</v>
      </c>
      <c r="I51" s="231">
        <f>I43*I48</f>
        <v>7142.8571428571431</v>
      </c>
      <c r="J51" s="231">
        <f>J43*J48</f>
        <v>7142.8571428571431</v>
      </c>
      <c r="K51" s="231">
        <v>3571</v>
      </c>
      <c r="L51" s="231"/>
      <c r="M51" s="231"/>
      <c r="N51" s="231"/>
      <c r="O51" s="231"/>
      <c r="P51" s="390"/>
      <c r="Q51" s="159"/>
      <c r="R51" s="108"/>
      <c r="S51" s="108"/>
      <c r="T51" s="108"/>
      <c r="U51" s="108"/>
      <c r="V51" s="108"/>
    </row>
    <row r="52" spans="1:22" outlineLevel="1" x14ac:dyDescent="0.25">
      <c r="A52" s="149"/>
      <c r="B52" s="563"/>
      <c r="C52" s="244"/>
      <c r="D52" s="563"/>
      <c r="E52" s="71"/>
      <c r="F52" s="149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159"/>
      <c r="R52" s="108"/>
      <c r="S52" s="108"/>
      <c r="T52" s="108"/>
      <c r="U52" s="108"/>
      <c r="V52" s="108"/>
    </row>
    <row r="53" spans="1:22" ht="30" outlineLevel="1" x14ac:dyDescent="0.25">
      <c r="A53" s="559"/>
      <c r="B53" s="564" t="s">
        <v>351</v>
      </c>
      <c r="C53" s="699" t="s">
        <v>19</v>
      </c>
      <c r="D53" s="559"/>
      <c r="E53" s="71"/>
      <c r="F53" s="554">
        <f>F49</f>
        <v>0</v>
      </c>
      <c r="G53" s="554">
        <f>F53+G49</f>
        <v>25000</v>
      </c>
      <c r="H53" s="554">
        <f t="shared" ref="H53:O53" si="21">G53-H51</f>
        <v>17857.142857142855</v>
      </c>
      <c r="I53" s="554">
        <f t="shared" si="21"/>
        <v>10714.285714285712</v>
      </c>
      <c r="J53" s="554">
        <f t="shared" si="21"/>
        <v>3571.4285714285688</v>
      </c>
      <c r="K53" s="554">
        <f t="shared" si="21"/>
        <v>0.42857142856883002</v>
      </c>
      <c r="L53" s="554">
        <f t="shared" si="21"/>
        <v>0.42857142856883002</v>
      </c>
      <c r="M53" s="554">
        <f t="shared" si="21"/>
        <v>0.42857142856883002</v>
      </c>
      <c r="N53" s="554">
        <f t="shared" si="21"/>
        <v>0.42857142856883002</v>
      </c>
      <c r="O53" s="554">
        <f t="shared" si="21"/>
        <v>0.42857142856883002</v>
      </c>
      <c r="P53" s="390"/>
      <c r="Q53" s="159"/>
      <c r="R53" s="108"/>
      <c r="S53" s="108"/>
      <c r="T53" s="108"/>
      <c r="U53" s="108"/>
      <c r="V53" s="108"/>
    </row>
    <row r="54" spans="1:22" outlineLevel="1" x14ac:dyDescent="0.25">
      <c r="A54" s="133"/>
      <c r="B54" s="182"/>
      <c r="C54" s="454"/>
      <c r="D54" s="133"/>
      <c r="E54" s="71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90"/>
      <c r="Q54" s="159"/>
      <c r="R54" s="108"/>
      <c r="S54" s="108"/>
      <c r="T54" s="108"/>
      <c r="U54" s="108"/>
      <c r="V54" s="108"/>
    </row>
    <row r="55" spans="1:22" outlineLevel="1" x14ac:dyDescent="0.25">
      <c r="A55" s="133"/>
      <c r="B55" s="182"/>
      <c r="C55" s="454"/>
      <c r="D55" s="133"/>
      <c r="E55" s="71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90"/>
      <c r="Q55" s="159"/>
      <c r="R55" s="108"/>
      <c r="S55" s="108"/>
      <c r="T55" s="108"/>
      <c r="U55" s="108"/>
      <c r="V55" s="108"/>
    </row>
    <row r="56" spans="1:22" outlineLevel="1" x14ac:dyDescent="0.25">
      <c r="A56" s="149"/>
      <c r="B56" s="178"/>
      <c r="C56" s="454"/>
      <c r="D56" s="149"/>
      <c r="E56" s="71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71"/>
      <c r="Q56" s="159"/>
      <c r="R56" s="108"/>
      <c r="S56" s="108"/>
      <c r="T56" s="108"/>
      <c r="U56" s="108"/>
      <c r="V56" s="108"/>
    </row>
    <row r="57" spans="1:22" outlineLevel="1" x14ac:dyDescent="0.25">
      <c r="A57" s="558"/>
      <c r="B57" s="558" t="s">
        <v>135</v>
      </c>
      <c r="C57" s="558"/>
      <c r="D57" s="558"/>
      <c r="E57" s="71"/>
      <c r="F57" s="558"/>
      <c r="G57" s="558"/>
      <c r="H57" s="558"/>
      <c r="I57" s="558"/>
      <c r="J57" s="558"/>
      <c r="K57" s="558"/>
      <c r="L57" s="558"/>
      <c r="M57" s="558"/>
      <c r="N57" s="558"/>
      <c r="O57" s="558"/>
      <c r="P57" s="720"/>
      <c r="Q57" s="159"/>
      <c r="R57" s="108"/>
      <c r="S57" s="108"/>
      <c r="T57" s="108"/>
      <c r="U57" s="108"/>
      <c r="V57" s="108"/>
    </row>
    <row r="58" spans="1:22" outlineLevel="1" x14ac:dyDescent="0.25">
      <c r="A58" s="226" t="str" cm="1">
        <f t="array" aca="1" ref="A58" ca="1">HYPERLINK(CELL("адрес",Исходные!A24),"источник")</f>
        <v>источник</v>
      </c>
      <c r="B58" s="178" t="s">
        <v>189</v>
      </c>
      <c r="C58" s="244" t="s">
        <v>19</v>
      </c>
      <c r="D58" s="248">
        <f>SUM(F58:O58)</f>
        <v>5000</v>
      </c>
      <c r="E58" s="71"/>
      <c r="F58" s="230">
        <f>Исходные!F24</f>
        <v>0</v>
      </c>
      <c r="G58" s="230">
        <f>Исходные!G24</f>
        <v>5000</v>
      </c>
      <c r="H58" s="230">
        <f>Исходные!H24</f>
        <v>0</v>
      </c>
      <c r="I58" s="230">
        <f>Исходные!I24</f>
        <v>0</v>
      </c>
      <c r="J58" s="230">
        <f>Исходные!J24</f>
        <v>0</v>
      </c>
      <c r="K58" s="230">
        <f>Исходные!K24</f>
        <v>0</v>
      </c>
      <c r="L58" s="230">
        <f>Исходные!L24</f>
        <v>0</v>
      </c>
      <c r="M58" s="230">
        <f>Исходные!M24</f>
        <v>0</v>
      </c>
      <c r="N58" s="230">
        <f>Исходные!N24</f>
        <v>0</v>
      </c>
      <c r="O58" s="230">
        <f>Исходные!O24</f>
        <v>0</v>
      </c>
      <c r="P58" s="386"/>
      <c r="Q58" s="159"/>
      <c r="R58" s="108"/>
      <c r="S58" s="108"/>
      <c r="T58" s="108"/>
      <c r="U58" s="108"/>
      <c r="V58" s="108"/>
    </row>
    <row r="59" spans="1:22" outlineLevel="1" x14ac:dyDescent="0.25">
      <c r="A59" s="149"/>
      <c r="B59" s="178" t="s">
        <v>132</v>
      </c>
      <c r="C59" s="244" t="s">
        <v>19</v>
      </c>
      <c r="D59" s="248">
        <f>SUM(F59:O59)</f>
        <v>833.33333333333348</v>
      </c>
      <c r="E59" s="71"/>
      <c r="F59" s="231">
        <f>F58/(1+Макро!F31)*Макро!F31</f>
        <v>0</v>
      </c>
      <c r="G59" s="231">
        <f>G58/(1+Макро!G31)*Макро!G31</f>
        <v>833.33333333333348</v>
      </c>
      <c r="H59" s="231">
        <f>H58/(1+Макро!H31)*Макро!H31</f>
        <v>0</v>
      </c>
      <c r="I59" s="231">
        <f>I58/(1+Макро!I31)*Макро!I31</f>
        <v>0</v>
      </c>
      <c r="J59" s="231">
        <f>J58/(1+Макро!J31)*Макро!J31</f>
        <v>0</v>
      </c>
      <c r="K59" s="231">
        <f>K58/(1+Макро!K31)*Макро!K31</f>
        <v>0</v>
      </c>
      <c r="L59" s="231">
        <f>L58/(1+Макро!L31)*Макро!L31</f>
        <v>0</v>
      </c>
      <c r="M59" s="231">
        <f>M58/(1+Макро!M31)*Макро!M31</f>
        <v>0</v>
      </c>
      <c r="N59" s="231">
        <f>N58/(1+Макро!N31)*Макро!N31</f>
        <v>0</v>
      </c>
      <c r="O59" s="231">
        <f>O58/(1+Макро!O31)*Макро!O31</f>
        <v>0</v>
      </c>
      <c r="P59" s="390"/>
      <c r="Q59" s="159"/>
      <c r="R59" s="108"/>
      <c r="S59" s="108"/>
      <c r="T59" s="108"/>
      <c r="U59" s="108"/>
      <c r="V59" s="108"/>
    </row>
    <row r="60" spans="1:22" ht="30" outlineLevel="1" x14ac:dyDescent="0.25">
      <c r="A60" s="149"/>
      <c r="B60" s="178" t="s">
        <v>485</v>
      </c>
      <c r="C60" s="244" t="s">
        <v>19</v>
      </c>
      <c r="D60" s="248">
        <f>SUM(F60:O60)</f>
        <v>4166.6666666666661</v>
      </c>
      <c r="E60" s="71"/>
      <c r="F60" s="231">
        <f t="shared" ref="F60:O60" si="22">F58-F59</f>
        <v>0</v>
      </c>
      <c r="G60" s="231">
        <f t="shared" si="22"/>
        <v>4166.6666666666661</v>
      </c>
      <c r="H60" s="231">
        <f t="shared" si="22"/>
        <v>0</v>
      </c>
      <c r="I60" s="231">
        <f t="shared" si="22"/>
        <v>0</v>
      </c>
      <c r="J60" s="231">
        <f t="shared" si="22"/>
        <v>0</v>
      </c>
      <c r="K60" s="231">
        <f t="shared" si="22"/>
        <v>0</v>
      </c>
      <c r="L60" s="231">
        <f t="shared" si="22"/>
        <v>0</v>
      </c>
      <c r="M60" s="231">
        <f t="shared" si="22"/>
        <v>0</v>
      </c>
      <c r="N60" s="231">
        <f t="shared" si="22"/>
        <v>0</v>
      </c>
      <c r="O60" s="231">
        <f t="shared" si="22"/>
        <v>0</v>
      </c>
      <c r="P60" s="390"/>
      <c r="Q60" s="159"/>
      <c r="R60" s="108"/>
      <c r="S60" s="108"/>
      <c r="T60" s="108"/>
      <c r="U60" s="108"/>
      <c r="V60" s="108"/>
    </row>
    <row r="61" spans="1:22" ht="30" outlineLevel="1" x14ac:dyDescent="0.25">
      <c r="A61" s="149"/>
      <c r="B61" s="178" t="s">
        <v>130</v>
      </c>
      <c r="C61" s="244" t="s">
        <v>131</v>
      </c>
      <c r="D61" s="143">
        <v>5</v>
      </c>
      <c r="E61" s="71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71"/>
      <c r="Q61" s="159"/>
      <c r="R61" s="108"/>
      <c r="S61" s="108"/>
      <c r="T61" s="108"/>
      <c r="U61" s="108"/>
      <c r="V61" s="108"/>
    </row>
    <row r="62" spans="1:22" outlineLevel="1" x14ac:dyDescent="0.25">
      <c r="A62" s="149"/>
      <c r="B62" s="178" t="s">
        <v>101</v>
      </c>
      <c r="C62" s="244" t="s">
        <v>19</v>
      </c>
      <c r="D62" s="248">
        <f>SUM(F62:O62)</f>
        <v>4166.6666666666661</v>
      </c>
      <c r="E62" s="71"/>
      <c r="F62" s="149"/>
      <c r="G62" s="231"/>
      <c r="H62" s="231">
        <f t="shared" ref="H62:O62" si="23">IF(H63&gt;=0,$D$60/$D$61,0)</f>
        <v>833.33333333333326</v>
      </c>
      <c r="I62" s="231">
        <f t="shared" si="23"/>
        <v>833.33333333333326</v>
      </c>
      <c r="J62" s="231">
        <f t="shared" si="23"/>
        <v>833.33333333333326</v>
      </c>
      <c r="K62" s="231">
        <f t="shared" si="23"/>
        <v>833.33333333333326</v>
      </c>
      <c r="L62" s="231">
        <f t="shared" si="23"/>
        <v>833.33333333333326</v>
      </c>
      <c r="M62" s="231">
        <f t="shared" si="23"/>
        <v>0</v>
      </c>
      <c r="N62" s="231">
        <f t="shared" si="23"/>
        <v>0</v>
      </c>
      <c r="O62" s="231">
        <f t="shared" si="23"/>
        <v>0</v>
      </c>
      <c r="P62" s="390"/>
      <c r="Q62" s="159"/>
      <c r="R62" s="108"/>
      <c r="S62" s="108"/>
      <c r="T62" s="108"/>
      <c r="U62" s="108"/>
      <c r="V62" s="108"/>
    </row>
    <row r="63" spans="1:22" outlineLevel="1" x14ac:dyDescent="0.25">
      <c r="A63" s="149"/>
      <c r="B63" s="563" t="s">
        <v>136</v>
      </c>
      <c r="C63" s="244"/>
      <c r="D63" s="698"/>
      <c r="E63" s="71"/>
      <c r="F63" s="149"/>
      <c r="G63" s="454">
        <f>D61</f>
        <v>5</v>
      </c>
      <c r="H63" s="454">
        <f t="shared" ref="H63:O63" si="24">G63-1</f>
        <v>4</v>
      </c>
      <c r="I63" s="454">
        <f t="shared" si="24"/>
        <v>3</v>
      </c>
      <c r="J63" s="454">
        <f t="shared" si="24"/>
        <v>2</v>
      </c>
      <c r="K63" s="454">
        <f t="shared" si="24"/>
        <v>1</v>
      </c>
      <c r="L63" s="454">
        <f t="shared" si="24"/>
        <v>0</v>
      </c>
      <c r="M63" s="454">
        <f t="shared" si="24"/>
        <v>-1</v>
      </c>
      <c r="N63" s="454">
        <f t="shared" si="24"/>
        <v>-2</v>
      </c>
      <c r="O63" s="454">
        <f t="shared" si="24"/>
        <v>-3</v>
      </c>
      <c r="P63" s="454"/>
      <c r="Q63" s="159"/>
      <c r="R63" s="108"/>
      <c r="S63" s="108"/>
      <c r="T63" s="108"/>
      <c r="U63" s="108"/>
      <c r="V63" s="108"/>
    </row>
    <row r="64" spans="1:22" outlineLevel="1" x14ac:dyDescent="0.25">
      <c r="A64" s="559"/>
      <c r="B64" s="564" t="s">
        <v>190</v>
      </c>
      <c r="C64" s="699" t="s">
        <v>19</v>
      </c>
      <c r="D64" s="559"/>
      <c r="E64" s="71"/>
      <c r="F64" s="554">
        <f>F60</f>
        <v>0</v>
      </c>
      <c r="G64" s="554">
        <f>F64+G60</f>
        <v>4166.6666666666661</v>
      </c>
      <c r="H64" s="554">
        <f t="shared" ref="H64:O64" si="25">G64-H62</f>
        <v>3333.333333333333</v>
      </c>
      <c r="I64" s="554">
        <f t="shared" si="25"/>
        <v>2500</v>
      </c>
      <c r="J64" s="554">
        <f t="shared" si="25"/>
        <v>1666.6666666666667</v>
      </c>
      <c r="K64" s="554">
        <f t="shared" si="25"/>
        <v>833.33333333333348</v>
      </c>
      <c r="L64" s="554">
        <f t="shared" si="25"/>
        <v>0</v>
      </c>
      <c r="M64" s="554">
        <f t="shared" si="25"/>
        <v>0</v>
      </c>
      <c r="N64" s="554">
        <f t="shared" si="25"/>
        <v>0</v>
      </c>
      <c r="O64" s="554">
        <f t="shared" si="25"/>
        <v>0</v>
      </c>
      <c r="P64" s="390"/>
      <c r="Q64" s="159"/>
      <c r="R64" s="108"/>
      <c r="S64" s="108"/>
      <c r="T64" s="108"/>
      <c r="U64" s="108"/>
      <c r="V64" s="108"/>
    </row>
    <row r="65" spans="1:22" outlineLevel="1" x14ac:dyDescent="0.25">
      <c r="A65" s="133"/>
      <c r="B65" s="182"/>
      <c r="C65" s="454"/>
      <c r="D65" s="133"/>
      <c r="E65" s="71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90"/>
      <c r="Q65" s="159"/>
      <c r="R65" s="108"/>
      <c r="S65" s="108"/>
      <c r="T65" s="108"/>
      <c r="U65" s="108"/>
      <c r="V65" s="108"/>
    </row>
    <row r="66" spans="1:22" outlineLevel="1" x14ac:dyDescent="0.25">
      <c r="A66" s="560"/>
      <c r="B66" s="562" t="s">
        <v>451</v>
      </c>
      <c r="C66" s="244"/>
      <c r="D66" s="560"/>
      <c r="E66" s="71"/>
      <c r="F66" s="555"/>
      <c r="G66" s="555"/>
      <c r="H66" s="555"/>
      <c r="I66" s="555"/>
      <c r="J66" s="555"/>
      <c r="K66" s="555"/>
      <c r="L66" s="555"/>
      <c r="M66" s="555"/>
      <c r="N66" s="555"/>
      <c r="O66" s="555"/>
      <c r="P66" s="390"/>
      <c r="Q66" s="159"/>
      <c r="R66" s="108"/>
      <c r="S66" s="108"/>
      <c r="T66" s="108"/>
      <c r="U66" s="108"/>
      <c r="V66" s="108"/>
    </row>
    <row r="67" spans="1:22" outlineLevel="1" x14ac:dyDescent="0.25">
      <c r="A67" s="561" t="str" cm="1">
        <f t="array" aca="1" ref="A67" ca="1">HYPERLINK(CELL("адрес",Макро!A70),"источник")</f>
        <v>источник</v>
      </c>
      <c r="B67" s="566" t="s">
        <v>450</v>
      </c>
      <c r="C67" s="244" t="s">
        <v>120</v>
      </c>
      <c r="D67" s="560"/>
      <c r="E67" s="71"/>
      <c r="F67" s="556">
        <f>Макро!F70</f>
        <v>2</v>
      </c>
      <c r="G67" s="556">
        <f>Макро!G70</f>
        <v>2</v>
      </c>
      <c r="H67" s="556">
        <f>Макро!H70</f>
        <v>2</v>
      </c>
      <c r="I67" s="556">
        <f>Макро!I70</f>
        <v>2</v>
      </c>
      <c r="J67" s="556">
        <f>Макро!J70</f>
        <v>2</v>
      </c>
      <c r="K67" s="556">
        <f>Макро!K70</f>
        <v>2</v>
      </c>
      <c r="L67" s="556">
        <f>Макро!L70</f>
        <v>2</v>
      </c>
      <c r="M67" s="556">
        <f>Макро!M70</f>
        <v>2</v>
      </c>
      <c r="N67" s="556">
        <f>Макро!N70</f>
        <v>2</v>
      </c>
      <c r="O67" s="556">
        <f>Макро!O70</f>
        <v>2</v>
      </c>
      <c r="P67" s="721"/>
      <c r="Q67" s="159"/>
      <c r="R67" s="108"/>
      <c r="S67" s="108"/>
      <c r="T67" s="108"/>
      <c r="U67" s="108"/>
      <c r="V67" s="108"/>
    </row>
    <row r="68" spans="1:22" ht="45" outlineLevel="1" x14ac:dyDescent="0.25">
      <c r="A68" s="560"/>
      <c r="B68" s="178" t="s">
        <v>486</v>
      </c>
      <c r="C68" s="244" t="s">
        <v>19</v>
      </c>
      <c r="D68" s="246">
        <f>SUM(F68:O68)</f>
        <v>4166.6666666666661</v>
      </c>
      <c r="E68" s="71"/>
      <c r="F68" s="231">
        <f>F60</f>
        <v>0</v>
      </c>
      <c r="G68" s="231">
        <f t="shared" ref="G68:O68" si="26">G60</f>
        <v>4166.6666666666661</v>
      </c>
      <c r="H68" s="231">
        <f t="shared" si="26"/>
        <v>0</v>
      </c>
      <c r="I68" s="231">
        <f t="shared" si="26"/>
        <v>0</v>
      </c>
      <c r="J68" s="231">
        <f t="shared" si="26"/>
        <v>0</v>
      </c>
      <c r="K68" s="231">
        <f t="shared" si="26"/>
        <v>0</v>
      </c>
      <c r="L68" s="231">
        <f t="shared" si="26"/>
        <v>0</v>
      </c>
      <c r="M68" s="231">
        <f t="shared" si="26"/>
        <v>0</v>
      </c>
      <c r="N68" s="231">
        <f t="shared" si="26"/>
        <v>0</v>
      </c>
      <c r="O68" s="231">
        <f t="shared" si="26"/>
        <v>0</v>
      </c>
      <c r="P68" s="390"/>
      <c r="Q68" s="159"/>
      <c r="R68" s="108"/>
      <c r="S68" s="108"/>
      <c r="T68" s="108"/>
      <c r="U68" s="108"/>
      <c r="V68" s="108"/>
    </row>
    <row r="69" spans="1:22" outlineLevel="1" x14ac:dyDescent="0.25">
      <c r="A69" s="560"/>
      <c r="B69" s="178"/>
      <c r="C69" s="244"/>
      <c r="D69" s="560"/>
      <c r="E69" s="71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71"/>
      <c r="Q69" s="159"/>
      <c r="R69" s="108"/>
      <c r="S69" s="108"/>
      <c r="T69" s="108"/>
      <c r="U69" s="108"/>
      <c r="V69" s="108"/>
    </row>
    <row r="70" spans="1:22" outlineLevel="1" x14ac:dyDescent="0.25">
      <c r="A70" s="560"/>
      <c r="B70" s="178" t="s">
        <v>352</v>
      </c>
      <c r="C70" s="244" t="s">
        <v>19</v>
      </c>
      <c r="D70" s="246">
        <f>SUM(F70:O70)</f>
        <v>4166.333333333333</v>
      </c>
      <c r="E70" s="71"/>
      <c r="F70" s="149"/>
      <c r="G70" s="231"/>
      <c r="H70" s="231">
        <f>H62*H67</f>
        <v>1666.6666666666665</v>
      </c>
      <c r="I70" s="231">
        <f>I62*I67</f>
        <v>1666.6666666666665</v>
      </c>
      <c r="J70" s="231">
        <v>833</v>
      </c>
      <c r="K70" s="231"/>
      <c r="L70" s="231"/>
      <c r="M70" s="231"/>
      <c r="N70" s="231"/>
      <c r="O70" s="231"/>
      <c r="P70" s="390"/>
      <c r="Q70" s="159"/>
      <c r="R70" s="108"/>
      <c r="S70" s="108"/>
      <c r="T70" s="108"/>
      <c r="U70" s="108"/>
      <c r="V70" s="108"/>
    </row>
    <row r="71" spans="1:22" outlineLevel="1" x14ac:dyDescent="0.25">
      <c r="A71" s="560"/>
      <c r="B71" s="563"/>
      <c r="C71" s="244"/>
      <c r="D71" s="563"/>
      <c r="E71" s="71"/>
      <c r="F71" s="149"/>
      <c r="G71" s="454"/>
      <c r="H71" s="454"/>
      <c r="I71" s="454"/>
      <c r="J71" s="454"/>
      <c r="K71" s="454"/>
      <c r="L71" s="454"/>
      <c r="M71" s="454"/>
      <c r="N71" s="454"/>
      <c r="O71" s="454"/>
      <c r="P71" s="454"/>
      <c r="Q71" s="159"/>
      <c r="R71" s="108"/>
      <c r="S71" s="108"/>
      <c r="T71" s="108"/>
      <c r="U71" s="108"/>
      <c r="V71" s="108"/>
    </row>
    <row r="72" spans="1:22" ht="30" outlineLevel="1" x14ac:dyDescent="0.25">
      <c r="A72" s="559"/>
      <c r="B72" s="564" t="s">
        <v>351</v>
      </c>
      <c r="C72" s="699" t="s">
        <v>19</v>
      </c>
      <c r="D72" s="559"/>
      <c r="E72" s="71"/>
      <c r="F72" s="554">
        <f>F68</f>
        <v>0</v>
      </c>
      <c r="G72" s="554">
        <f>F72+G68</f>
        <v>4166.6666666666661</v>
      </c>
      <c r="H72" s="554">
        <f t="shared" ref="H72:O72" si="27">G72-H70</f>
        <v>2499.9999999999995</v>
      </c>
      <c r="I72" s="554">
        <f t="shared" si="27"/>
        <v>833.33333333333303</v>
      </c>
      <c r="J72" s="554">
        <f t="shared" si="27"/>
        <v>0.33333333333303017</v>
      </c>
      <c r="K72" s="554">
        <f t="shared" si="27"/>
        <v>0.33333333333303017</v>
      </c>
      <c r="L72" s="554">
        <f t="shared" si="27"/>
        <v>0.33333333333303017</v>
      </c>
      <c r="M72" s="554">
        <f t="shared" si="27"/>
        <v>0.33333333333303017</v>
      </c>
      <c r="N72" s="554">
        <f t="shared" si="27"/>
        <v>0.33333333333303017</v>
      </c>
      <c r="O72" s="554">
        <f t="shared" si="27"/>
        <v>0.33333333333303017</v>
      </c>
      <c r="P72" s="390"/>
      <c r="Q72" s="159"/>
      <c r="R72" s="108"/>
      <c r="S72" s="108"/>
      <c r="T72" s="108"/>
      <c r="U72" s="108"/>
      <c r="V72" s="108"/>
    </row>
    <row r="73" spans="1:22" outlineLevel="1" x14ac:dyDescent="0.25">
      <c r="A73" s="133"/>
      <c r="B73" s="182"/>
      <c r="C73" s="454"/>
      <c r="D73" s="133"/>
      <c r="E73" s="71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90"/>
      <c r="Q73" s="159"/>
      <c r="R73" s="108"/>
      <c r="S73" s="108"/>
      <c r="T73" s="108"/>
      <c r="U73" s="108"/>
      <c r="V73" s="108"/>
    </row>
    <row r="74" spans="1:22" outlineLevel="1" x14ac:dyDescent="0.25">
      <c r="A74" s="133"/>
      <c r="B74" s="182"/>
      <c r="C74" s="454"/>
      <c r="D74" s="133"/>
      <c r="E74" s="71"/>
      <c r="F74" s="133"/>
      <c r="G74" s="389"/>
      <c r="H74" s="389"/>
      <c r="I74" s="389"/>
      <c r="J74" s="389"/>
      <c r="K74" s="389"/>
      <c r="L74" s="389"/>
      <c r="M74" s="389"/>
      <c r="N74" s="389"/>
      <c r="O74" s="389"/>
      <c r="P74" s="390"/>
      <c r="Q74" s="159"/>
      <c r="R74" s="108"/>
      <c r="S74" s="108"/>
      <c r="T74" s="108"/>
      <c r="U74" s="108"/>
      <c r="V74" s="108"/>
    </row>
    <row r="75" spans="1:22" outlineLevel="1" x14ac:dyDescent="0.25">
      <c r="A75" s="558"/>
      <c r="B75" s="558" t="s">
        <v>192</v>
      </c>
      <c r="C75" s="558"/>
      <c r="D75" s="558"/>
      <c r="E75" s="71"/>
      <c r="F75" s="558"/>
      <c r="G75" s="558"/>
      <c r="H75" s="558"/>
      <c r="I75" s="558"/>
      <c r="J75" s="558"/>
      <c r="K75" s="558"/>
      <c r="L75" s="558"/>
      <c r="M75" s="558"/>
      <c r="N75" s="558"/>
      <c r="O75" s="558"/>
      <c r="P75" s="720"/>
      <c r="Q75" s="159"/>
      <c r="R75" s="108"/>
      <c r="S75" s="108"/>
      <c r="T75" s="108"/>
      <c r="U75" s="108"/>
      <c r="V75" s="108"/>
    </row>
    <row r="76" spans="1:22" outlineLevel="1" x14ac:dyDescent="0.25">
      <c r="A76" s="226" t="str" cm="1">
        <f t="array" aca="1" ref="A76" ca="1">HYPERLINK(CELL("адрес",Исходные!A33),"источник")</f>
        <v>источник</v>
      </c>
      <c r="B76" s="178" t="s">
        <v>189</v>
      </c>
      <c r="C76" s="244" t="s">
        <v>19</v>
      </c>
      <c r="D76" s="248">
        <f>SUM(F76:O76)</f>
        <v>0</v>
      </c>
      <c r="E76" s="71"/>
      <c r="F76" s="230">
        <f>Исходные!F25</f>
        <v>0</v>
      </c>
      <c r="G76" s="230">
        <f>Исходные!G25</f>
        <v>0</v>
      </c>
      <c r="H76" s="230">
        <f>Исходные!H25</f>
        <v>0</v>
      </c>
      <c r="I76" s="230">
        <f>Исходные!I25</f>
        <v>0</v>
      </c>
      <c r="J76" s="230">
        <f>Исходные!J25</f>
        <v>0</v>
      </c>
      <c r="K76" s="230">
        <f>Исходные!K25</f>
        <v>0</v>
      </c>
      <c r="L76" s="230">
        <f>Исходные!L25</f>
        <v>0</v>
      </c>
      <c r="M76" s="230">
        <f>Исходные!M25</f>
        <v>0</v>
      </c>
      <c r="N76" s="230">
        <f>Исходные!N25</f>
        <v>0</v>
      </c>
      <c r="O76" s="230">
        <f>Исходные!O25</f>
        <v>0</v>
      </c>
      <c r="P76" s="386"/>
      <c r="Q76" s="159"/>
      <c r="R76" s="108"/>
      <c r="S76" s="108"/>
      <c r="T76" s="108"/>
      <c r="U76" s="108"/>
      <c r="V76" s="108"/>
    </row>
    <row r="77" spans="1:22" outlineLevel="1" x14ac:dyDescent="0.25">
      <c r="A77" s="149"/>
      <c r="B77" s="178" t="s">
        <v>132</v>
      </c>
      <c r="C77" s="244" t="s">
        <v>19</v>
      </c>
      <c r="D77" s="248">
        <f>SUM(F77:O77)</f>
        <v>0</v>
      </c>
      <c r="E77" s="71"/>
      <c r="F77" s="231">
        <f>F76/(1+Макро!F31)*Макро!F31</f>
        <v>0</v>
      </c>
      <c r="G77" s="231">
        <f>G76/(1+Макро!G31)*Макро!G31</f>
        <v>0</v>
      </c>
      <c r="H77" s="231">
        <f>H76/(1+Макро!H31)*Макро!H31</f>
        <v>0</v>
      </c>
      <c r="I77" s="231">
        <f>I76/(1+Макро!I31)*Макро!I31</f>
        <v>0</v>
      </c>
      <c r="J77" s="231">
        <f>J76/(1+Макро!J31)*Макро!J31</f>
        <v>0</v>
      </c>
      <c r="K77" s="231">
        <f>K76/(1+Макро!K31)*Макро!K31</f>
        <v>0</v>
      </c>
      <c r="L77" s="231">
        <f>L76/(1+Макро!L31)*Макро!L31</f>
        <v>0</v>
      </c>
      <c r="M77" s="231">
        <f>M76/(1+Макро!M31)*Макро!M31</f>
        <v>0</v>
      </c>
      <c r="N77" s="231">
        <f>N76/(1+Макро!N31)*Макро!N31</f>
        <v>0</v>
      </c>
      <c r="O77" s="231">
        <f>O76/(1+Макро!O31)*Макро!O31</f>
        <v>0</v>
      </c>
      <c r="P77" s="390"/>
      <c r="Q77" s="159"/>
      <c r="R77" s="108"/>
      <c r="S77" s="108"/>
      <c r="T77" s="108"/>
      <c r="U77" s="108"/>
      <c r="V77" s="108"/>
    </row>
    <row r="78" spans="1:22" ht="30" outlineLevel="1" x14ac:dyDescent="0.25">
      <c r="A78" s="149"/>
      <c r="B78" s="178" t="s">
        <v>485</v>
      </c>
      <c r="C78" s="244" t="s">
        <v>19</v>
      </c>
      <c r="D78" s="248">
        <f>SUM(F78:O78)</f>
        <v>0</v>
      </c>
      <c r="E78" s="71"/>
      <c r="F78" s="231">
        <f t="shared" ref="F78:O78" si="28">F76-F77</f>
        <v>0</v>
      </c>
      <c r="G78" s="231">
        <f t="shared" si="28"/>
        <v>0</v>
      </c>
      <c r="H78" s="231">
        <f t="shared" si="28"/>
        <v>0</v>
      </c>
      <c r="I78" s="231">
        <f t="shared" si="28"/>
        <v>0</v>
      </c>
      <c r="J78" s="231">
        <f t="shared" si="28"/>
        <v>0</v>
      </c>
      <c r="K78" s="231">
        <f t="shared" si="28"/>
        <v>0</v>
      </c>
      <c r="L78" s="231">
        <f t="shared" si="28"/>
        <v>0</v>
      </c>
      <c r="M78" s="231">
        <f t="shared" si="28"/>
        <v>0</v>
      </c>
      <c r="N78" s="231">
        <f t="shared" si="28"/>
        <v>0</v>
      </c>
      <c r="O78" s="231">
        <f t="shared" si="28"/>
        <v>0</v>
      </c>
      <c r="P78" s="390"/>
      <c r="Q78" s="159"/>
      <c r="R78" s="108"/>
      <c r="S78" s="108"/>
      <c r="T78" s="108"/>
      <c r="U78" s="108"/>
      <c r="V78" s="108"/>
    </row>
    <row r="79" spans="1:22" ht="30" outlineLevel="1" x14ac:dyDescent="0.25">
      <c r="A79" s="149"/>
      <c r="B79" s="178" t="s">
        <v>130</v>
      </c>
      <c r="C79" s="244" t="s">
        <v>131</v>
      </c>
      <c r="D79" s="143"/>
      <c r="E79" s="71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71"/>
      <c r="Q79" s="159"/>
      <c r="R79" s="108"/>
      <c r="S79" s="108"/>
      <c r="T79" s="108"/>
      <c r="U79" s="108"/>
      <c r="V79" s="108"/>
    </row>
    <row r="80" spans="1:22" outlineLevel="1" x14ac:dyDescent="0.25">
      <c r="A80" s="149"/>
      <c r="B80" s="178" t="s">
        <v>101</v>
      </c>
      <c r="C80" s="244" t="s">
        <v>19</v>
      </c>
      <c r="D80" s="248">
        <f>SUM(F80:O80)</f>
        <v>0</v>
      </c>
      <c r="E80" s="71"/>
      <c r="F80" s="149"/>
      <c r="G80" s="231"/>
      <c r="H80" s="231">
        <f t="shared" ref="H80:O80" si="29">IF(H81&gt;=0,$D$60/$D$61,0)</f>
        <v>0</v>
      </c>
      <c r="I80" s="231">
        <f t="shared" si="29"/>
        <v>0</v>
      </c>
      <c r="J80" s="231">
        <f t="shared" si="29"/>
        <v>0</v>
      </c>
      <c r="K80" s="231">
        <f t="shared" si="29"/>
        <v>0</v>
      </c>
      <c r="L80" s="231">
        <f t="shared" si="29"/>
        <v>0</v>
      </c>
      <c r="M80" s="231">
        <f t="shared" si="29"/>
        <v>0</v>
      </c>
      <c r="N80" s="231">
        <f t="shared" si="29"/>
        <v>0</v>
      </c>
      <c r="O80" s="231">
        <f t="shared" si="29"/>
        <v>0</v>
      </c>
      <c r="P80" s="390"/>
      <c r="Q80" s="159"/>
      <c r="R80" s="108"/>
      <c r="S80" s="108"/>
      <c r="T80" s="108"/>
      <c r="U80" s="108"/>
      <c r="V80" s="108"/>
    </row>
    <row r="81" spans="1:22" outlineLevel="1" x14ac:dyDescent="0.25">
      <c r="A81" s="149"/>
      <c r="B81" s="563" t="s">
        <v>136</v>
      </c>
      <c r="C81" s="244"/>
      <c r="D81" s="698"/>
      <c r="E81" s="71"/>
      <c r="F81" s="149"/>
      <c r="G81" s="454">
        <f>D79</f>
        <v>0</v>
      </c>
      <c r="H81" s="454">
        <f t="shared" ref="H81:O81" si="30">G81-1</f>
        <v>-1</v>
      </c>
      <c r="I81" s="454">
        <f t="shared" si="30"/>
        <v>-2</v>
      </c>
      <c r="J81" s="454">
        <f t="shared" si="30"/>
        <v>-3</v>
      </c>
      <c r="K81" s="454">
        <f t="shared" si="30"/>
        <v>-4</v>
      </c>
      <c r="L81" s="454">
        <f t="shared" si="30"/>
        <v>-5</v>
      </c>
      <c r="M81" s="454">
        <f t="shared" si="30"/>
        <v>-6</v>
      </c>
      <c r="N81" s="454">
        <f t="shared" si="30"/>
        <v>-7</v>
      </c>
      <c r="O81" s="454">
        <f t="shared" si="30"/>
        <v>-8</v>
      </c>
      <c r="P81" s="454"/>
      <c r="Q81" s="159"/>
      <c r="R81" s="108"/>
      <c r="S81" s="108"/>
      <c r="T81" s="108"/>
      <c r="U81" s="108"/>
      <c r="V81" s="108"/>
    </row>
    <row r="82" spans="1:22" outlineLevel="1" x14ac:dyDescent="0.25">
      <c r="A82" s="559"/>
      <c r="B82" s="564" t="s">
        <v>190</v>
      </c>
      <c r="C82" s="699" t="s">
        <v>19</v>
      </c>
      <c r="D82" s="559"/>
      <c r="E82" s="71"/>
      <c r="F82" s="554">
        <f>F78</f>
        <v>0</v>
      </c>
      <c r="G82" s="554">
        <f>F82+G78</f>
        <v>0</v>
      </c>
      <c r="H82" s="554">
        <f t="shared" ref="H82:O82" si="31">G82-H80</f>
        <v>0</v>
      </c>
      <c r="I82" s="554">
        <f t="shared" si="31"/>
        <v>0</v>
      </c>
      <c r="J82" s="554">
        <f t="shared" si="31"/>
        <v>0</v>
      </c>
      <c r="K82" s="554">
        <f t="shared" si="31"/>
        <v>0</v>
      </c>
      <c r="L82" s="554">
        <f t="shared" si="31"/>
        <v>0</v>
      </c>
      <c r="M82" s="554">
        <f t="shared" si="31"/>
        <v>0</v>
      </c>
      <c r="N82" s="554">
        <f t="shared" si="31"/>
        <v>0</v>
      </c>
      <c r="O82" s="554">
        <f t="shared" si="31"/>
        <v>0</v>
      </c>
      <c r="P82" s="390"/>
      <c r="Q82" s="159"/>
      <c r="R82" s="108"/>
      <c r="S82" s="108"/>
      <c r="T82" s="108"/>
      <c r="U82" s="108"/>
      <c r="V82" s="108"/>
    </row>
    <row r="83" spans="1:22" outlineLevel="1" x14ac:dyDescent="0.25">
      <c r="A83" s="133"/>
      <c r="B83" s="182"/>
      <c r="C83" s="454"/>
      <c r="D83" s="133"/>
      <c r="E83" s="71"/>
      <c r="F83" s="133"/>
      <c r="G83" s="389"/>
      <c r="H83" s="389"/>
      <c r="I83" s="389"/>
      <c r="J83" s="389"/>
      <c r="K83" s="389"/>
      <c r="L83" s="389"/>
      <c r="M83" s="389"/>
      <c r="N83" s="389"/>
      <c r="O83" s="389"/>
      <c r="P83" s="390"/>
      <c r="Q83" s="159"/>
      <c r="R83" s="108"/>
      <c r="S83" s="108"/>
      <c r="T83" s="108"/>
      <c r="U83" s="108"/>
      <c r="V83" s="108"/>
    </row>
    <row r="84" spans="1:22" outlineLevel="1" x14ac:dyDescent="0.25">
      <c r="A84" s="558"/>
      <c r="B84" s="558" t="s">
        <v>193</v>
      </c>
      <c r="C84" s="558"/>
      <c r="D84" s="558"/>
      <c r="E84" s="71"/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720"/>
      <c r="Q84" s="159"/>
      <c r="R84" s="108"/>
      <c r="S84" s="108"/>
      <c r="T84" s="108"/>
      <c r="U84" s="108"/>
      <c r="V84" s="108"/>
    </row>
    <row r="85" spans="1:22" outlineLevel="1" x14ac:dyDescent="0.25">
      <c r="A85" s="226" t="str" cm="1">
        <f t="array" aca="1" ref="A85" ca="1">HYPERLINK(CELL("адрес",Исходные!A26),"источник")</f>
        <v>источник</v>
      </c>
      <c r="B85" s="178" t="s">
        <v>189</v>
      </c>
      <c r="C85" s="244" t="s">
        <v>19</v>
      </c>
      <c r="D85" s="248">
        <f>SUM(F85:O85)</f>
        <v>0</v>
      </c>
      <c r="E85" s="71"/>
      <c r="F85" s="230">
        <f>Исходные!F26</f>
        <v>0</v>
      </c>
      <c r="G85" s="230">
        <f>Исходные!G26</f>
        <v>0</v>
      </c>
      <c r="H85" s="230">
        <f>Исходные!H26</f>
        <v>0</v>
      </c>
      <c r="I85" s="230">
        <f>Исходные!I26</f>
        <v>0</v>
      </c>
      <c r="J85" s="230">
        <f>Исходные!J26</f>
        <v>0</v>
      </c>
      <c r="K85" s="230">
        <f>Исходные!K26</f>
        <v>0</v>
      </c>
      <c r="L85" s="230">
        <f>Исходные!L26</f>
        <v>0</v>
      </c>
      <c r="M85" s="230">
        <f>Исходные!M26</f>
        <v>0</v>
      </c>
      <c r="N85" s="230">
        <f>Исходные!N26</f>
        <v>0</v>
      </c>
      <c r="O85" s="230">
        <f>Исходные!O26</f>
        <v>0</v>
      </c>
      <c r="P85" s="386"/>
      <c r="Q85" s="159"/>
      <c r="R85" s="108"/>
      <c r="S85" s="108"/>
      <c r="T85" s="108"/>
      <c r="U85" s="108"/>
      <c r="V85" s="108"/>
    </row>
    <row r="86" spans="1:22" outlineLevel="1" x14ac:dyDescent="0.25">
      <c r="A86" s="149"/>
      <c r="B86" s="178" t="s">
        <v>132</v>
      </c>
      <c r="C86" s="244" t="s">
        <v>19</v>
      </c>
      <c r="D86" s="248">
        <f>SUM(F86:O86)</f>
        <v>0</v>
      </c>
      <c r="E86" s="71"/>
      <c r="F86" s="231">
        <f>F85/(1+Макро!F31)*Макро!F31</f>
        <v>0</v>
      </c>
      <c r="G86" s="231">
        <f>G85/(1+Макро!G31)*Макро!G31</f>
        <v>0</v>
      </c>
      <c r="H86" s="231">
        <f>H85/(1+Макро!H31)*Макро!H31</f>
        <v>0</v>
      </c>
      <c r="I86" s="231">
        <f>I85/(1+Макро!I31)*Макро!I31</f>
        <v>0</v>
      </c>
      <c r="J86" s="231">
        <f>J85/(1+Макро!J31)*Макро!J31</f>
        <v>0</v>
      </c>
      <c r="K86" s="231">
        <f>K85/(1+Макро!K31)*Макро!K31</f>
        <v>0</v>
      </c>
      <c r="L86" s="231">
        <f>L85/(1+Макро!L31)*Макро!L31</f>
        <v>0</v>
      </c>
      <c r="M86" s="231">
        <f>M85/(1+Макро!M31)*Макро!M31</f>
        <v>0</v>
      </c>
      <c r="N86" s="231">
        <f>N85/(1+Макро!N31)*Макро!N31</f>
        <v>0</v>
      </c>
      <c r="O86" s="231">
        <f>O85/(1+Макро!O31)*Макро!O31</f>
        <v>0</v>
      </c>
      <c r="P86" s="390"/>
      <c r="Q86" s="159"/>
      <c r="R86" s="108"/>
      <c r="S86" s="108"/>
      <c r="T86" s="108"/>
      <c r="U86" s="108"/>
      <c r="V86" s="108"/>
    </row>
    <row r="87" spans="1:22" ht="30" outlineLevel="1" x14ac:dyDescent="0.25">
      <c r="A87" s="149"/>
      <c r="B87" s="178" t="s">
        <v>485</v>
      </c>
      <c r="C87" s="244" t="s">
        <v>19</v>
      </c>
      <c r="D87" s="248">
        <f>SUM(F87:O87)</f>
        <v>0</v>
      </c>
      <c r="E87" s="71"/>
      <c r="F87" s="231">
        <f t="shared" ref="F87:O87" si="32">F85-F86</f>
        <v>0</v>
      </c>
      <c r="G87" s="231">
        <f t="shared" si="32"/>
        <v>0</v>
      </c>
      <c r="H87" s="231">
        <f t="shared" si="32"/>
        <v>0</v>
      </c>
      <c r="I87" s="231">
        <f t="shared" si="32"/>
        <v>0</v>
      </c>
      <c r="J87" s="231">
        <f t="shared" si="32"/>
        <v>0</v>
      </c>
      <c r="K87" s="231">
        <f t="shared" si="32"/>
        <v>0</v>
      </c>
      <c r="L87" s="231">
        <f t="shared" si="32"/>
        <v>0</v>
      </c>
      <c r="M87" s="231">
        <f t="shared" si="32"/>
        <v>0</v>
      </c>
      <c r="N87" s="231">
        <f t="shared" si="32"/>
        <v>0</v>
      </c>
      <c r="O87" s="231">
        <f t="shared" si="32"/>
        <v>0</v>
      </c>
      <c r="P87" s="390"/>
      <c r="Q87" s="159"/>
      <c r="R87" s="108"/>
      <c r="S87" s="108"/>
      <c r="T87" s="108"/>
      <c r="U87" s="108"/>
      <c r="V87" s="108"/>
    </row>
    <row r="88" spans="1:22" ht="30" outlineLevel="1" x14ac:dyDescent="0.25">
      <c r="A88" s="149"/>
      <c r="B88" s="178" t="s">
        <v>130</v>
      </c>
      <c r="C88" s="244" t="s">
        <v>131</v>
      </c>
      <c r="D88" s="143"/>
      <c r="E88" s="71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71"/>
      <c r="Q88" s="159"/>
      <c r="R88" s="108"/>
      <c r="S88" s="108"/>
      <c r="T88" s="108"/>
      <c r="U88" s="108"/>
      <c r="V88" s="108"/>
    </row>
    <row r="89" spans="1:22" outlineLevel="1" x14ac:dyDescent="0.25">
      <c r="A89" s="149"/>
      <c r="B89" s="178" t="s">
        <v>101</v>
      </c>
      <c r="C89" s="244" t="s">
        <v>19</v>
      </c>
      <c r="D89" s="248">
        <f>SUM(F89:O89)</f>
        <v>0</v>
      </c>
      <c r="E89" s="71"/>
      <c r="F89" s="149"/>
      <c r="G89" s="231"/>
      <c r="H89" s="231">
        <f t="shared" ref="H89:O89" si="33">IF(H90&gt;=0,$D$60/$D$61,0)</f>
        <v>0</v>
      </c>
      <c r="I89" s="231">
        <f t="shared" si="33"/>
        <v>0</v>
      </c>
      <c r="J89" s="231">
        <f t="shared" si="33"/>
        <v>0</v>
      </c>
      <c r="K89" s="231">
        <f t="shared" si="33"/>
        <v>0</v>
      </c>
      <c r="L89" s="231">
        <f t="shared" si="33"/>
        <v>0</v>
      </c>
      <c r="M89" s="231">
        <f t="shared" si="33"/>
        <v>0</v>
      </c>
      <c r="N89" s="231">
        <f t="shared" si="33"/>
        <v>0</v>
      </c>
      <c r="O89" s="231">
        <f t="shared" si="33"/>
        <v>0</v>
      </c>
      <c r="P89" s="390"/>
      <c r="Q89" s="159"/>
      <c r="R89" s="108"/>
      <c r="S89" s="108"/>
      <c r="T89" s="108"/>
      <c r="U89" s="108"/>
      <c r="V89" s="108"/>
    </row>
    <row r="90" spans="1:22" outlineLevel="1" x14ac:dyDescent="0.25">
      <c r="A90" s="149"/>
      <c r="B90" s="563" t="s">
        <v>136</v>
      </c>
      <c r="C90" s="244"/>
      <c r="D90" s="698"/>
      <c r="E90" s="71"/>
      <c r="F90" s="149"/>
      <c r="G90" s="454">
        <f>D88</f>
        <v>0</v>
      </c>
      <c r="H90" s="454">
        <f t="shared" ref="H90:O90" si="34">G90-1</f>
        <v>-1</v>
      </c>
      <c r="I90" s="454">
        <f t="shared" si="34"/>
        <v>-2</v>
      </c>
      <c r="J90" s="454">
        <f t="shared" si="34"/>
        <v>-3</v>
      </c>
      <c r="K90" s="454">
        <f t="shared" si="34"/>
        <v>-4</v>
      </c>
      <c r="L90" s="454">
        <f t="shared" si="34"/>
        <v>-5</v>
      </c>
      <c r="M90" s="454">
        <f t="shared" si="34"/>
        <v>-6</v>
      </c>
      <c r="N90" s="454">
        <f t="shared" si="34"/>
        <v>-7</v>
      </c>
      <c r="O90" s="454">
        <f t="shared" si="34"/>
        <v>-8</v>
      </c>
      <c r="P90" s="454"/>
      <c r="Q90" s="159"/>
      <c r="R90" s="108"/>
      <c r="S90" s="108"/>
      <c r="T90" s="108"/>
      <c r="U90" s="108"/>
      <c r="V90" s="108"/>
    </row>
    <row r="91" spans="1:22" outlineLevel="1" x14ac:dyDescent="0.25">
      <c r="A91" s="559"/>
      <c r="B91" s="564" t="s">
        <v>190</v>
      </c>
      <c r="C91" s="699" t="s">
        <v>19</v>
      </c>
      <c r="D91" s="559"/>
      <c r="E91" s="71"/>
      <c r="F91" s="554">
        <f>F87</f>
        <v>0</v>
      </c>
      <c r="G91" s="554">
        <f>F91+G87</f>
        <v>0</v>
      </c>
      <c r="H91" s="554">
        <f t="shared" ref="H91:O91" si="35">G91-H89</f>
        <v>0</v>
      </c>
      <c r="I91" s="554">
        <f t="shared" si="35"/>
        <v>0</v>
      </c>
      <c r="J91" s="554">
        <f t="shared" si="35"/>
        <v>0</v>
      </c>
      <c r="K91" s="554">
        <f t="shared" si="35"/>
        <v>0</v>
      </c>
      <c r="L91" s="554">
        <f t="shared" si="35"/>
        <v>0</v>
      </c>
      <c r="M91" s="554">
        <f t="shared" si="35"/>
        <v>0</v>
      </c>
      <c r="N91" s="554">
        <f t="shared" si="35"/>
        <v>0</v>
      </c>
      <c r="O91" s="554">
        <f t="shared" si="35"/>
        <v>0</v>
      </c>
      <c r="P91" s="390"/>
      <c r="Q91" s="159"/>
      <c r="R91" s="108"/>
      <c r="S91" s="108"/>
      <c r="T91" s="108"/>
      <c r="U91" s="108"/>
      <c r="V91" s="108"/>
    </row>
    <row r="92" spans="1:22" outlineLevel="1" x14ac:dyDescent="0.25">
      <c r="A92" s="133"/>
      <c r="B92" s="182"/>
      <c r="C92" s="454"/>
      <c r="D92" s="133"/>
      <c r="E92" s="71"/>
      <c r="F92" s="133"/>
      <c r="G92" s="389"/>
      <c r="H92" s="389"/>
      <c r="I92" s="389"/>
      <c r="J92" s="389"/>
      <c r="K92" s="389"/>
      <c r="L92" s="389"/>
      <c r="M92" s="389"/>
      <c r="N92" s="389"/>
      <c r="O92" s="389"/>
      <c r="P92" s="390"/>
      <c r="Q92" s="159"/>
      <c r="R92" s="108"/>
      <c r="S92" s="108"/>
      <c r="T92" s="108"/>
      <c r="U92" s="108"/>
      <c r="V92" s="108"/>
    </row>
    <row r="93" spans="1:22" outlineLevel="1" x14ac:dyDescent="0.25">
      <c r="A93" s="558"/>
      <c r="B93" s="558" t="s">
        <v>194</v>
      </c>
      <c r="C93" s="558"/>
      <c r="D93" s="558"/>
      <c r="E93" s="71"/>
      <c r="F93" s="558"/>
      <c r="G93" s="558"/>
      <c r="H93" s="558"/>
      <c r="I93" s="558"/>
      <c r="J93" s="558"/>
      <c r="K93" s="558"/>
      <c r="L93" s="558"/>
      <c r="M93" s="558"/>
      <c r="N93" s="558"/>
      <c r="O93" s="558"/>
      <c r="P93" s="720"/>
      <c r="Q93" s="159"/>
      <c r="R93" s="108"/>
      <c r="S93" s="108"/>
      <c r="T93" s="108"/>
      <c r="U93" s="108"/>
      <c r="V93" s="108"/>
    </row>
    <row r="94" spans="1:22" outlineLevel="1" x14ac:dyDescent="0.25">
      <c r="A94" s="226" t="str" cm="1">
        <f t="array" aca="1" ref="A94" ca="1">HYPERLINK(CELL("адрес",Исходные!A27),"источник")</f>
        <v>источник</v>
      </c>
      <c r="B94" s="178" t="s">
        <v>189</v>
      </c>
      <c r="C94" s="244" t="s">
        <v>19</v>
      </c>
      <c r="D94" s="248">
        <f>SUM(F94:O94)</f>
        <v>0</v>
      </c>
      <c r="E94" s="71"/>
      <c r="F94" s="230">
        <f>Исходные!F27</f>
        <v>0</v>
      </c>
      <c r="G94" s="230">
        <f>Исходные!G27</f>
        <v>0</v>
      </c>
      <c r="H94" s="230">
        <f>Исходные!H27</f>
        <v>0</v>
      </c>
      <c r="I94" s="230">
        <f>Исходные!I27</f>
        <v>0</v>
      </c>
      <c r="J94" s="230">
        <f>Исходные!J27</f>
        <v>0</v>
      </c>
      <c r="K94" s="230">
        <f>Исходные!K27</f>
        <v>0</v>
      </c>
      <c r="L94" s="230">
        <f>Исходные!L27</f>
        <v>0</v>
      </c>
      <c r="M94" s="230">
        <f>Исходные!M27</f>
        <v>0</v>
      </c>
      <c r="N94" s="230">
        <f>Исходные!N27</f>
        <v>0</v>
      </c>
      <c r="O94" s="230">
        <f>Исходные!O27</f>
        <v>0</v>
      </c>
      <c r="P94" s="386"/>
      <c r="Q94" s="159"/>
      <c r="R94" s="108"/>
      <c r="S94" s="108"/>
      <c r="T94" s="108"/>
      <c r="U94" s="108"/>
      <c r="V94" s="108"/>
    </row>
    <row r="95" spans="1:22" outlineLevel="1" x14ac:dyDescent="0.25">
      <c r="A95" s="149"/>
      <c r="B95" s="178" t="s">
        <v>132</v>
      </c>
      <c r="C95" s="244" t="s">
        <v>19</v>
      </c>
      <c r="D95" s="248">
        <f>SUM(F95:O95)</f>
        <v>0</v>
      </c>
      <c r="E95" s="71"/>
      <c r="F95" s="231">
        <f>F94/(1+Макро!F31)*Макро!F31</f>
        <v>0</v>
      </c>
      <c r="G95" s="231">
        <f>G94/(1+Макро!G31)*Макро!G31</f>
        <v>0</v>
      </c>
      <c r="H95" s="231">
        <f>H94/(1+Макро!H31)*Макро!H31</f>
        <v>0</v>
      </c>
      <c r="I95" s="231">
        <f>I94/(1+Макро!I31)*Макро!I31</f>
        <v>0</v>
      </c>
      <c r="J95" s="231">
        <f>J94/(1+Макро!J31)*Макро!J31</f>
        <v>0</v>
      </c>
      <c r="K95" s="231">
        <f>K94/(1+Макро!K31)*Макро!K31</f>
        <v>0</v>
      </c>
      <c r="L95" s="231">
        <f>L94/(1+Макро!L31)*Макро!L31</f>
        <v>0</v>
      </c>
      <c r="M95" s="231">
        <f>M94/(1+Макро!M31)*Макро!M31</f>
        <v>0</v>
      </c>
      <c r="N95" s="231">
        <f>N94/(1+Макро!N31)*Макро!N31</f>
        <v>0</v>
      </c>
      <c r="O95" s="231">
        <f>O94/(1+Макро!O31)*Макро!O31</f>
        <v>0</v>
      </c>
      <c r="P95" s="390"/>
      <c r="Q95" s="159"/>
      <c r="R95" s="108"/>
      <c r="S95" s="108"/>
      <c r="T95" s="108"/>
      <c r="U95" s="108"/>
      <c r="V95" s="108"/>
    </row>
    <row r="96" spans="1:22" ht="30" outlineLevel="1" x14ac:dyDescent="0.25">
      <c r="A96" s="149"/>
      <c r="B96" s="178" t="s">
        <v>485</v>
      </c>
      <c r="C96" s="244" t="s">
        <v>19</v>
      </c>
      <c r="D96" s="248">
        <f>SUM(F96:O96)</f>
        <v>0</v>
      </c>
      <c r="E96" s="71"/>
      <c r="F96" s="231">
        <f t="shared" ref="F96:O96" si="36">F94-F95</f>
        <v>0</v>
      </c>
      <c r="G96" s="231">
        <f t="shared" si="36"/>
        <v>0</v>
      </c>
      <c r="H96" s="231">
        <f t="shared" si="36"/>
        <v>0</v>
      </c>
      <c r="I96" s="231">
        <f t="shared" si="36"/>
        <v>0</v>
      </c>
      <c r="J96" s="231">
        <f t="shared" si="36"/>
        <v>0</v>
      </c>
      <c r="K96" s="231">
        <f t="shared" si="36"/>
        <v>0</v>
      </c>
      <c r="L96" s="231">
        <f t="shared" si="36"/>
        <v>0</v>
      </c>
      <c r="M96" s="231">
        <f t="shared" si="36"/>
        <v>0</v>
      </c>
      <c r="N96" s="231">
        <f t="shared" si="36"/>
        <v>0</v>
      </c>
      <c r="O96" s="231">
        <f t="shared" si="36"/>
        <v>0</v>
      </c>
      <c r="P96" s="390"/>
      <c r="Q96" s="159"/>
      <c r="R96" s="108"/>
      <c r="S96" s="108"/>
      <c r="T96" s="108"/>
      <c r="U96" s="108"/>
      <c r="V96" s="108"/>
    </row>
    <row r="97" spans="1:22" ht="30" outlineLevel="1" x14ac:dyDescent="0.25">
      <c r="A97" s="149"/>
      <c r="B97" s="178" t="s">
        <v>130</v>
      </c>
      <c r="C97" s="244" t="s">
        <v>131</v>
      </c>
      <c r="D97" s="143"/>
      <c r="E97" s="71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71"/>
      <c r="Q97" s="159"/>
      <c r="R97" s="108"/>
      <c r="S97" s="108"/>
      <c r="T97" s="108"/>
      <c r="U97" s="108"/>
      <c r="V97" s="108"/>
    </row>
    <row r="98" spans="1:22" outlineLevel="1" x14ac:dyDescent="0.25">
      <c r="A98" s="149"/>
      <c r="B98" s="178" t="s">
        <v>101</v>
      </c>
      <c r="C98" s="244" t="s">
        <v>19</v>
      </c>
      <c r="D98" s="248">
        <f>SUM(F98:O98)</f>
        <v>0</v>
      </c>
      <c r="E98" s="71"/>
      <c r="F98" s="149"/>
      <c r="G98" s="231"/>
      <c r="H98" s="231">
        <f t="shared" ref="H98:O98" si="37">IF(H99&gt;=0,$D$60/$D$61,0)</f>
        <v>0</v>
      </c>
      <c r="I98" s="231">
        <f t="shared" si="37"/>
        <v>0</v>
      </c>
      <c r="J98" s="231">
        <f t="shared" si="37"/>
        <v>0</v>
      </c>
      <c r="K98" s="231">
        <f t="shared" si="37"/>
        <v>0</v>
      </c>
      <c r="L98" s="231">
        <f t="shared" si="37"/>
        <v>0</v>
      </c>
      <c r="M98" s="231">
        <f t="shared" si="37"/>
        <v>0</v>
      </c>
      <c r="N98" s="231">
        <f t="shared" si="37"/>
        <v>0</v>
      </c>
      <c r="O98" s="231">
        <f t="shared" si="37"/>
        <v>0</v>
      </c>
      <c r="P98" s="390"/>
      <c r="Q98" s="159"/>
      <c r="R98" s="108"/>
      <c r="S98" s="108"/>
      <c r="T98" s="108"/>
      <c r="U98" s="108"/>
      <c r="V98" s="108"/>
    </row>
    <row r="99" spans="1:22" outlineLevel="1" x14ac:dyDescent="0.25">
      <c r="A99" s="149"/>
      <c r="B99" s="563" t="s">
        <v>136</v>
      </c>
      <c r="C99" s="244"/>
      <c r="D99" s="698"/>
      <c r="E99" s="71"/>
      <c r="F99" s="149"/>
      <c r="G99" s="454">
        <f>D97</f>
        <v>0</v>
      </c>
      <c r="H99" s="454">
        <f t="shared" ref="H99:O99" si="38">G99-1</f>
        <v>-1</v>
      </c>
      <c r="I99" s="454">
        <f t="shared" si="38"/>
        <v>-2</v>
      </c>
      <c r="J99" s="454">
        <f t="shared" si="38"/>
        <v>-3</v>
      </c>
      <c r="K99" s="454">
        <f t="shared" si="38"/>
        <v>-4</v>
      </c>
      <c r="L99" s="454">
        <f t="shared" si="38"/>
        <v>-5</v>
      </c>
      <c r="M99" s="454">
        <f t="shared" si="38"/>
        <v>-6</v>
      </c>
      <c r="N99" s="454">
        <f t="shared" si="38"/>
        <v>-7</v>
      </c>
      <c r="O99" s="454">
        <f t="shared" si="38"/>
        <v>-8</v>
      </c>
      <c r="P99" s="454"/>
      <c r="Q99" s="159"/>
      <c r="R99" s="108"/>
      <c r="S99" s="108"/>
      <c r="T99" s="108"/>
      <c r="U99" s="108"/>
      <c r="V99" s="108"/>
    </row>
    <row r="100" spans="1:22" outlineLevel="1" x14ac:dyDescent="0.25">
      <c r="A100" s="559"/>
      <c r="B100" s="564" t="s">
        <v>190</v>
      </c>
      <c r="C100" s="699" t="s">
        <v>19</v>
      </c>
      <c r="D100" s="559"/>
      <c r="E100" s="71"/>
      <c r="F100" s="554">
        <f>F96</f>
        <v>0</v>
      </c>
      <c r="G100" s="554">
        <f>F100+G96</f>
        <v>0</v>
      </c>
      <c r="H100" s="554">
        <f t="shared" ref="H100:O100" si="39">G100-H98</f>
        <v>0</v>
      </c>
      <c r="I100" s="554">
        <f t="shared" si="39"/>
        <v>0</v>
      </c>
      <c r="J100" s="554">
        <f t="shared" si="39"/>
        <v>0</v>
      </c>
      <c r="K100" s="554">
        <f t="shared" si="39"/>
        <v>0</v>
      </c>
      <c r="L100" s="554">
        <f t="shared" si="39"/>
        <v>0</v>
      </c>
      <c r="M100" s="554">
        <f t="shared" si="39"/>
        <v>0</v>
      </c>
      <c r="N100" s="554">
        <f t="shared" si="39"/>
        <v>0</v>
      </c>
      <c r="O100" s="554">
        <f t="shared" si="39"/>
        <v>0</v>
      </c>
      <c r="P100" s="390"/>
      <c r="Q100" s="159"/>
      <c r="R100" s="108"/>
      <c r="S100" s="108"/>
      <c r="T100" s="108"/>
      <c r="U100" s="108"/>
      <c r="V100" s="108"/>
    </row>
    <row r="101" spans="1:22" outlineLevel="1" x14ac:dyDescent="0.25">
      <c r="A101" s="133"/>
      <c r="B101" s="182"/>
      <c r="C101" s="454"/>
      <c r="D101" s="133"/>
      <c r="E101" s="71"/>
      <c r="F101" s="133"/>
      <c r="G101" s="389"/>
      <c r="H101" s="389"/>
      <c r="I101" s="389"/>
      <c r="J101" s="389"/>
      <c r="K101" s="389"/>
      <c r="L101" s="389"/>
      <c r="M101" s="389"/>
      <c r="N101" s="389"/>
      <c r="O101" s="389"/>
      <c r="P101" s="390"/>
      <c r="Q101" s="159"/>
      <c r="R101" s="108"/>
      <c r="S101" s="108"/>
      <c r="T101" s="108"/>
      <c r="U101" s="108"/>
      <c r="V101" s="108"/>
    </row>
    <row r="102" spans="1:22" outlineLevel="1" x14ac:dyDescent="0.25">
      <c r="A102" s="558"/>
      <c r="B102" s="558" t="s">
        <v>195</v>
      </c>
      <c r="C102" s="558"/>
      <c r="D102" s="558"/>
      <c r="E102" s="71"/>
      <c r="F102" s="558"/>
      <c r="G102" s="558"/>
      <c r="H102" s="558"/>
      <c r="I102" s="558"/>
      <c r="J102" s="558"/>
      <c r="K102" s="558"/>
      <c r="L102" s="558"/>
      <c r="M102" s="558"/>
      <c r="N102" s="558"/>
      <c r="O102" s="558"/>
      <c r="P102" s="720"/>
      <c r="Q102" s="159"/>
      <c r="R102" s="108"/>
      <c r="S102" s="108"/>
      <c r="T102" s="108"/>
      <c r="U102" s="108"/>
      <c r="V102" s="108"/>
    </row>
    <row r="103" spans="1:22" outlineLevel="1" x14ac:dyDescent="0.25">
      <c r="A103" s="226" t="str" cm="1">
        <f t="array" aca="1" ref="A103" ca="1">HYPERLINK(CELL("адрес",Исходные!A28),"источник")</f>
        <v>источник</v>
      </c>
      <c r="B103" s="178" t="s">
        <v>189</v>
      </c>
      <c r="C103" s="244" t="s">
        <v>19</v>
      </c>
      <c r="D103" s="248">
        <f>SUM(F103:O103)</f>
        <v>0</v>
      </c>
      <c r="E103" s="71"/>
      <c r="F103" s="230">
        <f>Исходные!F28</f>
        <v>0</v>
      </c>
      <c r="G103" s="230">
        <f>Исходные!G28</f>
        <v>0</v>
      </c>
      <c r="H103" s="230">
        <f>Исходные!H28</f>
        <v>0</v>
      </c>
      <c r="I103" s="230">
        <f>Исходные!I28</f>
        <v>0</v>
      </c>
      <c r="J103" s="230">
        <f>Исходные!J28</f>
        <v>0</v>
      </c>
      <c r="K103" s="230">
        <f>Исходные!K28</f>
        <v>0</v>
      </c>
      <c r="L103" s="230">
        <f>Исходные!L28</f>
        <v>0</v>
      </c>
      <c r="M103" s="230">
        <f>Исходные!M28</f>
        <v>0</v>
      </c>
      <c r="N103" s="230">
        <f>Исходные!N28</f>
        <v>0</v>
      </c>
      <c r="O103" s="230">
        <f>Исходные!O28</f>
        <v>0</v>
      </c>
      <c r="P103" s="386"/>
      <c r="Q103" s="159"/>
      <c r="R103" s="108"/>
      <c r="S103" s="108"/>
      <c r="T103" s="108"/>
      <c r="U103" s="108"/>
      <c r="V103" s="108"/>
    </row>
    <row r="104" spans="1:22" outlineLevel="1" x14ac:dyDescent="0.25">
      <c r="A104" s="149"/>
      <c r="B104" s="178" t="s">
        <v>132</v>
      </c>
      <c r="C104" s="244" t="s">
        <v>19</v>
      </c>
      <c r="D104" s="248">
        <f>SUM(F104:O104)</f>
        <v>0</v>
      </c>
      <c r="E104" s="71"/>
      <c r="F104" s="231">
        <f>F103/(1+Макро!F31)*Макро!F31</f>
        <v>0</v>
      </c>
      <c r="G104" s="231">
        <f>G103/(1+Макро!G31)*Макро!G31</f>
        <v>0</v>
      </c>
      <c r="H104" s="231">
        <f>H103/(1+Макро!H31)*Макро!H31</f>
        <v>0</v>
      </c>
      <c r="I104" s="231">
        <f>I103/(1+Макро!I31)*Макро!I31</f>
        <v>0</v>
      </c>
      <c r="J104" s="231">
        <f>J103/(1+Макро!J31)*Макро!J31</f>
        <v>0</v>
      </c>
      <c r="K104" s="231">
        <f>K103/(1+Макро!K31)*Макро!K31</f>
        <v>0</v>
      </c>
      <c r="L104" s="231">
        <f>L103/(1+Макро!L31)*Макро!L31</f>
        <v>0</v>
      </c>
      <c r="M104" s="231">
        <f>M103/(1+Макро!M31)*Макро!M31</f>
        <v>0</v>
      </c>
      <c r="N104" s="231">
        <f>N103/(1+Макро!N31)*Макро!N31</f>
        <v>0</v>
      </c>
      <c r="O104" s="231">
        <f>O103/(1+Макро!O31)*Макро!O31</f>
        <v>0</v>
      </c>
      <c r="P104" s="390"/>
      <c r="Q104" s="159"/>
      <c r="R104" s="108"/>
      <c r="S104" s="108"/>
      <c r="T104" s="108"/>
      <c r="U104" s="108"/>
      <c r="V104" s="108"/>
    </row>
    <row r="105" spans="1:22" ht="30" outlineLevel="1" x14ac:dyDescent="0.25">
      <c r="A105" s="149"/>
      <c r="B105" s="178" t="s">
        <v>485</v>
      </c>
      <c r="C105" s="244" t="s">
        <v>19</v>
      </c>
      <c r="D105" s="248">
        <f>SUM(F105:O105)</f>
        <v>0</v>
      </c>
      <c r="E105" s="71"/>
      <c r="F105" s="231">
        <f t="shared" ref="F105:O105" si="40">F103-F104</f>
        <v>0</v>
      </c>
      <c r="G105" s="231">
        <f t="shared" si="40"/>
        <v>0</v>
      </c>
      <c r="H105" s="231">
        <f t="shared" si="40"/>
        <v>0</v>
      </c>
      <c r="I105" s="231">
        <f t="shared" si="40"/>
        <v>0</v>
      </c>
      <c r="J105" s="231">
        <f t="shared" si="40"/>
        <v>0</v>
      </c>
      <c r="K105" s="231">
        <f t="shared" si="40"/>
        <v>0</v>
      </c>
      <c r="L105" s="231">
        <f t="shared" si="40"/>
        <v>0</v>
      </c>
      <c r="M105" s="231">
        <f t="shared" si="40"/>
        <v>0</v>
      </c>
      <c r="N105" s="231">
        <f t="shared" si="40"/>
        <v>0</v>
      </c>
      <c r="O105" s="231">
        <f t="shared" si="40"/>
        <v>0</v>
      </c>
      <c r="P105" s="390"/>
      <c r="Q105" s="159"/>
      <c r="R105" s="108"/>
      <c r="S105" s="108"/>
      <c r="T105" s="108"/>
      <c r="U105" s="108"/>
      <c r="V105" s="108"/>
    </row>
    <row r="106" spans="1:22" ht="30" outlineLevel="1" x14ac:dyDescent="0.25">
      <c r="A106" s="149"/>
      <c r="B106" s="178" t="s">
        <v>130</v>
      </c>
      <c r="C106" s="244" t="s">
        <v>131</v>
      </c>
      <c r="D106" s="143"/>
      <c r="E106" s="71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71"/>
      <c r="Q106" s="159"/>
      <c r="R106" s="108"/>
      <c r="S106" s="108"/>
      <c r="T106" s="108"/>
      <c r="U106" s="108"/>
      <c r="V106" s="108"/>
    </row>
    <row r="107" spans="1:22" outlineLevel="1" x14ac:dyDescent="0.25">
      <c r="A107" s="149"/>
      <c r="B107" s="178" t="s">
        <v>101</v>
      </c>
      <c r="C107" s="244" t="s">
        <v>19</v>
      </c>
      <c r="D107" s="248">
        <f>SUM(F107:O107)</f>
        <v>0</v>
      </c>
      <c r="E107" s="71"/>
      <c r="F107" s="149"/>
      <c r="G107" s="231"/>
      <c r="H107" s="231">
        <f t="shared" ref="H107:O107" si="41">IF(H108&gt;=0,$D$60/$D$61,0)</f>
        <v>0</v>
      </c>
      <c r="I107" s="231">
        <f t="shared" si="41"/>
        <v>0</v>
      </c>
      <c r="J107" s="231">
        <f t="shared" si="41"/>
        <v>0</v>
      </c>
      <c r="K107" s="231">
        <f t="shared" si="41"/>
        <v>0</v>
      </c>
      <c r="L107" s="231">
        <f t="shared" si="41"/>
        <v>0</v>
      </c>
      <c r="M107" s="231">
        <f t="shared" si="41"/>
        <v>0</v>
      </c>
      <c r="N107" s="231">
        <f t="shared" si="41"/>
        <v>0</v>
      </c>
      <c r="O107" s="231">
        <f t="shared" si="41"/>
        <v>0</v>
      </c>
      <c r="P107" s="390"/>
      <c r="Q107" s="159"/>
      <c r="R107" s="108"/>
      <c r="S107" s="108"/>
      <c r="T107" s="108"/>
      <c r="U107" s="108"/>
      <c r="V107" s="108"/>
    </row>
    <row r="108" spans="1:22" outlineLevel="1" x14ac:dyDescent="0.25">
      <c r="A108" s="149"/>
      <c r="B108" s="563" t="s">
        <v>136</v>
      </c>
      <c r="C108" s="244"/>
      <c r="D108" s="698"/>
      <c r="E108" s="71"/>
      <c r="F108" s="149"/>
      <c r="G108" s="454">
        <f>D106</f>
        <v>0</v>
      </c>
      <c r="H108" s="454">
        <f t="shared" ref="H108:O108" si="42">G108-1</f>
        <v>-1</v>
      </c>
      <c r="I108" s="454">
        <f t="shared" si="42"/>
        <v>-2</v>
      </c>
      <c r="J108" s="454">
        <f t="shared" si="42"/>
        <v>-3</v>
      </c>
      <c r="K108" s="454">
        <f t="shared" si="42"/>
        <v>-4</v>
      </c>
      <c r="L108" s="454">
        <f t="shared" si="42"/>
        <v>-5</v>
      </c>
      <c r="M108" s="454">
        <f t="shared" si="42"/>
        <v>-6</v>
      </c>
      <c r="N108" s="454">
        <f t="shared" si="42"/>
        <v>-7</v>
      </c>
      <c r="O108" s="454">
        <f t="shared" si="42"/>
        <v>-8</v>
      </c>
      <c r="P108" s="454"/>
      <c r="Q108" s="159"/>
      <c r="R108" s="108"/>
      <c r="S108" s="108"/>
      <c r="T108" s="108"/>
      <c r="U108" s="108"/>
      <c r="V108" s="108"/>
    </row>
    <row r="109" spans="1:22" outlineLevel="1" x14ac:dyDescent="0.25">
      <c r="A109" s="559"/>
      <c r="B109" s="564" t="s">
        <v>190</v>
      </c>
      <c r="C109" s="699" t="s">
        <v>19</v>
      </c>
      <c r="D109" s="559"/>
      <c r="E109" s="71"/>
      <c r="F109" s="554">
        <f>F105</f>
        <v>0</v>
      </c>
      <c r="G109" s="554">
        <f>F109+G105</f>
        <v>0</v>
      </c>
      <c r="H109" s="554">
        <f t="shared" ref="H109:O109" si="43">G109-H107</f>
        <v>0</v>
      </c>
      <c r="I109" s="554">
        <f t="shared" si="43"/>
        <v>0</v>
      </c>
      <c r="J109" s="554">
        <f t="shared" si="43"/>
        <v>0</v>
      </c>
      <c r="K109" s="554">
        <f t="shared" si="43"/>
        <v>0</v>
      </c>
      <c r="L109" s="554">
        <f t="shared" si="43"/>
        <v>0</v>
      </c>
      <c r="M109" s="554">
        <f t="shared" si="43"/>
        <v>0</v>
      </c>
      <c r="N109" s="554">
        <f t="shared" si="43"/>
        <v>0</v>
      </c>
      <c r="O109" s="554">
        <f t="shared" si="43"/>
        <v>0</v>
      </c>
      <c r="P109" s="390"/>
      <c r="Q109" s="159"/>
      <c r="R109" s="108"/>
      <c r="S109" s="108"/>
      <c r="T109" s="108"/>
      <c r="U109" s="108"/>
      <c r="V109" s="108"/>
    </row>
    <row r="110" spans="1:22" outlineLevel="1" x14ac:dyDescent="0.25">
      <c r="A110" s="133"/>
      <c r="B110" s="182"/>
      <c r="C110" s="454"/>
      <c r="D110" s="133"/>
      <c r="E110" s="71"/>
      <c r="F110" s="133"/>
      <c r="G110" s="389"/>
      <c r="H110" s="389"/>
      <c r="I110" s="389"/>
      <c r="J110" s="389"/>
      <c r="K110" s="389"/>
      <c r="L110" s="389"/>
      <c r="M110" s="389"/>
      <c r="N110" s="389"/>
      <c r="O110" s="389"/>
      <c r="P110" s="390"/>
      <c r="Q110" s="159"/>
      <c r="R110" s="108"/>
      <c r="S110" s="108"/>
      <c r="T110" s="108"/>
      <c r="U110" s="108"/>
      <c r="V110" s="108"/>
    </row>
    <row r="111" spans="1:22" outlineLevel="1" x14ac:dyDescent="0.25">
      <c r="A111" s="558"/>
      <c r="B111" s="558" t="s">
        <v>196</v>
      </c>
      <c r="C111" s="558"/>
      <c r="D111" s="558"/>
      <c r="E111" s="71"/>
      <c r="F111" s="558"/>
      <c r="G111" s="558"/>
      <c r="H111" s="558"/>
      <c r="I111" s="558"/>
      <c r="J111" s="558"/>
      <c r="K111" s="558"/>
      <c r="L111" s="558"/>
      <c r="M111" s="558"/>
      <c r="N111" s="558"/>
      <c r="O111" s="558"/>
      <c r="P111" s="720"/>
      <c r="Q111" s="159"/>
      <c r="R111" s="108"/>
      <c r="S111" s="108"/>
      <c r="T111" s="108"/>
      <c r="U111" s="108"/>
      <c r="V111" s="108"/>
    </row>
    <row r="112" spans="1:22" outlineLevel="1" x14ac:dyDescent="0.25">
      <c r="A112" s="226" t="str" cm="1">
        <f t="array" aca="1" ref="A112" ca="1">HYPERLINK(CELL("адрес",Исходные!A29),"источник")</f>
        <v>источник</v>
      </c>
      <c r="B112" s="178" t="s">
        <v>189</v>
      </c>
      <c r="C112" s="244" t="s">
        <v>19</v>
      </c>
      <c r="D112" s="248">
        <f>SUM(F112:O112)</f>
        <v>0</v>
      </c>
      <c r="E112" s="71"/>
      <c r="F112" s="230">
        <f>Исходные!F29</f>
        <v>0</v>
      </c>
      <c r="G112" s="230">
        <f>Исходные!G29</f>
        <v>0</v>
      </c>
      <c r="H112" s="230">
        <f>Исходные!H29</f>
        <v>0</v>
      </c>
      <c r="I112" s="230">
        <f>Исходные!I29</f>
        <v>0</v>
      </c>
      <c r="J112" s="230">
        <f>Исходные!J29</f>
        <v>0</v>
      </c>
      <c r="K112" s="230">
        <f>Исходные!K29</f>
        <v>0</v>
      </c>
      <c r="L112" s="230">
        <f>Исходные!L29</f>
        <v>0</v>
      </c>
      <c r="M112" s="230">
        <f>Исходные!M29</f>
        <v>0</v>
      </c>
      <c r="N112" s="230">
        <f>Исходные!N29</f>
        <v>0</v>
      </c>
      <c r="O112" s="230">
        <f>Исходные!O29</f>
        <v>0</v>
      </c>
      <c r="P112" s="386"/>
      <c r="Q112" s="159"/>
      <c r="R112" s="108"/>
      <c r="S112" s="108"/>
      <c r="T112" s="108"/>
      <c r="U112" s="108"/>
      <c r="V112" s="108"/>
    </row>
    <row r="113" spans="1:22" outlineLevel="1" x14ac:dyDescent="0.25">
      <c r="A113" s="149"/>
      <c r="B113" s="178" t="s">
        <v>132</v>
      </c>
      <c r="C113" s="244" t="s">
        <v>19</v>
      </c>
      <c r="D113" s="248">
        <f>SUM(F113:O113)</f>
        <v>0</v>
      </c>
      <c r="E113" s="71"/>
      <c r="F113" s="231">
        <f>F112/(1+Макро!F31)*Макро!F31</f>
        <v>0</v>
      </c>
      <c r="G113" s="231">
        <f>G112/(1+Макро!G31)*Макро!G31</f>
        <v>0</v>
      </c>
      <c r="H113" s="231">
        <f>H112/(1+Макро!H31)*Макро!H31</f>
        <v>0</v>
      </c>
      <c r="I113" s="231">
        <f>I112/(1+Макро!I31)*Макро!I31</f>
        <v>0</v>
      </c>
      <c r="J113" s="231">
        <f>J112/(1+Макро!J31)*Макро!J31</f>
        <v>0</v>
      </c>
      <c r="K113" s="231">
        <f>K112/(1+Макро!K31)*Макро!K31</f>
        <v>0</v>
      </c>
      <c r="L113" s="231">
        <f>L112/(1+Макро!L31)*Макро!L31</f>
        <v>0</v>
      </c>
      <c r="M113" s="231">
        <f>M112/(1+Макро!M31)*Макро!M31</f>
        <v>0</v>
      </c>
      <c r="N113" s="231">
        <f>N112/(1+Макро!N31)*Макро!N31</f>
        <v>0</v>
      </c>
      <c r="O113" s="231">
        <f>O112/(1+Макро!O31)*Макро!O31</f>
        <v>0</v>
      </c>
      <c r="P113" s="390"/>
      <c r="Q113" s="159"/>
      <c r="R113" s="108"/>
      <c r="S113" s="108"/>
      <c r="T113" s="108"/>
      <c r="U113" s="108"/>
      <c r="V113" s="108"/>
    </row>
    <row r="114" spans="1:22" ht="30" outlineLevel="1" x14ac:dyDescent="0.25">
      <c r="A114" s="149"/>
      <c r="B114" s="178" t="s">
        <v>485</v>
      </c>
      <c r="C114" s="244" t="s">
        <v>19</v>
      </c>
      <c r="D114" s="248">
        <f>SUM(F114:O114)</f>
        <v>0</v>
      </c>
      <c r="E114" s="71"/>
      <c r="F114" s="231">
        <f t="shared" ref="F114:O114" si="44">F112-F113</f>
        <v>0</v>
      </c>
      <c r="G114" s="231">
        <f t="shared" si="44"/>
        <v>0</v>
      </c>
      <c r="H114" s="231">
        <f t="shared" si="44"/>
        <v>0</v>
      </c>
      <c r="I114" s="231">
        <f t="shared" si="44"/>
        <v>0</v>
      </c>
      <c r="J114" s="231">
        <f t="shared" si="44"/>
        <v>0</v>
      </c>
      <c r="K114" s="231">
        <f t="shared" si="44"/>
        <v>0</v>
      </c>
      <c r="L114" s="231">
        <f t="shared" si="44"/>
        <v>0</v>
      </c>
      <c r="M114" s="231">
        <f t="shared" si="44"/>
        <v>0</v>
      </c>
      <c r="N114" s="231">
        <f t="shared" si="44"/>
        <v>0</v>
      </c>
      <c r="O114" s="231">
        <f t="shared" si="44"/>
        <v>0</v>
      </c>
      <c r="P114" s="390"/>
      <c r="Q114" s="159"/>
      <c r="R114" s="108"/>
      <c r="S114" s="108"/>
      <c r="T114" s="108"/>
      <c r="U114" s="108"/>
      <c r="V114" s="108"/>
    </row>
    <row r="115" spans="1:22" ht="30" outlineLevel="1" x14ac:dyDescent="0.25">
      <c r="A115" s="149"/>
      <c r="B115" s="178" t="s">
        <v>130</v>
      </c>
      <c r="C115" s="244" t="s">
        <v>131</v>
      </c>
      <c r="D115" s="143"/>
      <c r="E115" s="71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71"/>
      <c r="Q115" s="159"/>
      <c r="R115" s="108"/>
      <c r="S115" s="108"/>
      <c r="T115" s="108"/>
      <c r="U115" s="108"/>
      <c r="V115" s="108"/>
    </row>
    <row r="116" spans="1:22" outlineLevel="1" x14ac:dyDescent="0.25">
      <c r="A116" s="149"/>
      <c r="B116" s="178" t="s">
        <v>101</v>
      </c>
      <c r="C116" s="244" t="s">
        <v>19</v>
      </c>
      <c r="D116" s="248">
        <f>SUM(F116:O116)</f>
        <v>0</v>
      </c>
      <c r="E116" s="71"/>
      <c r="F116" s="149"/>
      <c r="G116" s="231"/>
      <c r="H116" s="231">
        <f t="shared" ref="H116:O116" si="45">IF(H117&gt;=0,$D$60/$D$61,0)</f>
        <v>0</v>
      </c>
      <c r="I116" s="231">
        <f t="shared" si="45"/>
        <v>0</v>
      </c>
      <c r="J116" s="231">
        <f t="shared" si="45"/>
        <v>0</v>
      </c>
      <c r="K116" s="231">
        <f t="shared" si="45"/>
        <v>0</v>
      </c>
      <c r="L116" s="231">
        <f t="shared" si="45"/>
        <v>0</v>
      </c>
      <c r="M116" s="231">
        <f t="shared" si="45"/>
        <v>0</v>
      </c>
      <c r="N116" s="231">
        <f t="shared" si="45"/>
        <v>0</v>
      </c>
      <c r="O116" s="231">
        <f t="shared" si="45"/>
        <v>0</v>
      </c>
      <c r="P116" s="390"/>
      <c r="Q116" s="159"/>
      <c r="R116" s="108"/>
      <c r="S116" s="108"/>
      <c r="T116" s="108"/>
      <c r="U116" s="108"/>
      <c r="V116" s="108"/>
    </row>
    <row r="117" spans="1:22" outlineLevel="1" x14ac:dyDescent="0.25">
      <c r="A117" s="149"/>
      <c r="B117" s="563" t="s">
        <v>136</v>
      </c>
      <c r="C117" s="244"/>
      <c r="D117" s="698"/>
      <c r="E117" s="71"/>
      <c r="F117" s="149"/>
      <c r="G117" s="454">
        <f>D115</f>
        <v>0</v>
      </c>
      <c r="H117" s="454">
        <f t="shared" ref="H117:O117" si="46">G117-1</f>
        <v>-1</v>
      </c>
      <c r="I117" s="454">
        <f t="shared" si="46"/>
        <v>-2</v>
      </c>
      <c r="J117" s="454">
        <f t="shared" si="46"/>
        <v>-3</v>
      </c>
      <c r="K117" s="454">
        <f t="shared" si="46"/>
        <v>-4</v>
      </c>
      <c r="L117" s="454">
        <f t="shared" si="46"/>
        <v>-5</v>
      </c>
      <c r="M117" s="454">
        <f t="shared" si="46"/>
        <v>-6</v>
      </c>
      <c r="N117" s="454">
        <f t="shared" si="46"/>
        <v>-7</v>
      </c>
      <c r="O117" s="454">
        <f t="shared" si="46"/>
        <v>-8</v>
      </c>
      <c r="P117" s="454"/>
      <c r="Q117" s="159"/>
      <c r="R117" s="108"/>
      <c r="S117" s="108"/>
      <c r="T117" s="108"/>
      <c r="U117" s="108"/>
      <c r="V117" s="108"/>
    </row>
    <row r="118" spans="1:22" outlineLevel="1" x14ac:dyDescent="0.25">
      <c r="A118" s="559"/>
      <c r="B118" s="564" t="s">
        <v>190</v>
      </c>
      <c r="C118" s="699" t="s">
        <v>19</v>
      </c>
      <c r="D118" s="559"/>
      <c r="E118" s="71"/>
      <c r="F118" s="554">
        <f>F114</f>
        <v>0</v>
      </c>
      <c r="G118" s="554">
        <f>F118+G114</f>
        <v>0</v>
      </c>
      <c r="H118" s="554">
        <f t="shared" ref="H118:O118" si="47">G118-H116</f>
        <v>0</v>
      </c>
      <c r="I118" s="554">
        <f t="shared" si="47"/>
        <v>0</v>
      </c>
      <c r="J118" s="554">
        <f t="shared" si="47"/>
        <v>0</v>
      </c>
      <c r="K118" s="554">
        <f t="shared" si="47"/>
        <v>0</v>
      </c>
      <c r="L118" s="554">
        <f t="shared" si="47"/>
        <v>0</v>
      </c>
      <c r="M118" s="554">
        <f t="shared" si="47"/>
        <v>0</v>
      </c>
      <c r="N118" s="554">
        <f t="shared" si="47"/>
        <v>0</v>
      </c>
      <c r="O118" s="554">
        <f t="shared" si="47"/>
        <v>0</v>
      </c>
      <c r="P118" s="390"/>
      <c r="Q118" s="159"/>
      <c r="R118" s="108"/>
      <c r="S118" s="108"/>
      <c r="T118" s="108"/>
      <c r="U118" s="108"/>
      <c r="V118" s="108"/>
    </row>
    <row r="119" spans="1:22" outlineLevel="1" x14ac:dyDescent="0.25">
      <c r="A119" s="133"/>
      <c r="B119" s="182"/>
      <c r="C119" s="454"/>
      <c r="D119" s="133"/>
      <c r="E119" s="71"/>
      <c r="F119" s="133"/>
      <c r="G119" s="389"/>
      <c r="H119" s="389"/>
      <c r="I119" s="389"/>
      <c r="J119" s="389"/>
      <c r="K119" s="389"/>
      <c r="L119" s="389"/>
      <c r="M119" s="389"/>
      <c r="N119" s="389"/>
      <c r="O119" s="389"/>
      <c r="P119" s="390"/>
      <c r="Q119" s="159"/>
      <c r="R119" s="108"/>
      <c r="S119" s="108"/>
      <c r="T119" s="108"/>
      <c r="U119" s="108"/>
      <c r="V119" s="108"/>
    </row>
    <row r="120" spans="1:22" outlineLevel="1" x14ac:dyDescent="0.25">
      <c r="A120" s="558"/>
      <c r="B120" s="558" t="s">
        <v>197</v>
      </c>
      <c r="C120" s="558"/>
      <c r="D120" s="558"/>
      <c r="E120" s="71"/>
      <c r="F120" s="558"/>
      <c r="G120" s="558"/>
      <c r="H120" s="558"/>
      <c r="I120" s="558"/>
      <c r="J120" s="558"/>
      <c r="K120" s="558"/>
      <c r="L120" s="558"/>
      <c r="M120" s="558"/>
      <c r="N120" s="558"/>
      <c r="O120" s="558"/>
      <c r="P120" s="720"/>
      <c r="Q120" s="159"/>
      <c r="R120" s="108"/>
      <c r="S120" s="108"/>
      <c r="T120" s="108"/>
      <c r="U120" s="108"/>
      <c r="V120" s="108"/>
    </row>
    <row r="121" spans="1:22" outlineLevel="1" x14ac:dyDescent="0.25">
      <c r="A121" s="226" t="str" cm="1">
        <f t="array" aca="1" ref="A121" ca="1">HYPERLINK(CELL("адрес",Исходные!A30),"источник")</f>
        <v>источник</v>
      </c>
      <c r="B121" s="178" t="s">
        <v>189</v>
      </c>
      <c r="C121" s="244" t="s">
        <v>19</v>
      </c>
      <c r="D121" s="248">
        <f>SUM(F121:O121)</f>
        <v>0</v>
      </c>
      <c r="E121" s="71"/>
      <c r="F121" s="230">
        <f>Исходные!F30</f>
        <v>0</v>
      </c>
      <c r="G121" s="230">
        <f>Исходные!G30</f>
        <v>0</v>
      </c>
      <c r="H121" s="230">
        <f>Исходные!H30</f>
        <v>0</v>
      </c>
      <c r="I121" s="230">
        <f>Исходные!I30</f>
        <v>0</v>
      </c>
      <c r="J121" s="230">
        <f>Исходные!J30</f>
        <v>0</v>
      </c>
      <c r="K121" s="230">
        <f>Исходные!K30</f>
        <v>0</v>
      </c>
      <c r="L121" s="230">
        <f>Исходные!L30</f>
        <v>0</v>
      </c>
      <c r="M121" s="230">
        <f>Исходные!M30</f>
        <v>0</v>
      </c>
      <c r="N121" s="230">
        <f>Исходные!N30</f>
        <v>0</v>
      </c>
      <c r="O121" s="230">
        <f>Исходные!O30</f>
        <v>0</v>
      </c>
      <c r="P121" s="386"/>
      <c r="Q121" s="159"/>
      <c r="R121" s="108"/>
      <c r="S121" s="108"/>
      <c r="T121" s="108"/>
      <c r="U121" s="108"/>
      <c r="V121" s="108"/>
    </row>
    <row r="122" spans="1:22" outlineLevel="1" x14ac:dyDescent="0.25">
      <c r="A122" s="149"/>
      <c r="B122" s="178" t="s">
        <v>132</v>
      </c>
      <c r="C122" s="244" t="s">
        <v>19</v>
      </c>
      <c r="D122" s="248">
        <f>SUM(F122:O122)</f>
        <v>0</v>
      </c>
      <c r="E122" s="71"/>
      <c r="F122" s="231">
        <f>F121/(1+Макро!F31)*Макро!F31</f>
        <v>0</v>
      </c>
      <c r="G122" s="231">
        <f>G121/(1+Макро!G31)*Макро!G31</f>
        <v>0</v>
      </c>
      <c r="H122" s="231">
        <f>H121/(1+Макро!H31)*Макро!H31</f>
        <v>0</v>
      </c>
      <c r="I122" s="231">
        <f>I121/(1+Макро!I31)*Макро!I31</f>
        <v>0</v>
      </c>
      <c r="J122" s="231">
        <f>J121/(1+Макро!J31)*Макро!J31</f>
        <v>0</v>
      </c>
      <c r="K122" s="231">
        <f>K121/(1+Макро!K31)*Макро!K31</f>
        <v>0</v>
      </c>
      <c r="L122" s="231">
        <f>L121/(1+Макро!L31)*Макро!L31</f>
        <v>0</v>
      </c>
      <c r="M122" s="231">
        <f>M121/(1+Макро!M31)*Макро!M31</f>
        <v>0</v>
      </c>
      <c r="N122" s="231">
        <f>N121/(1+Макро!N31)*Макро!N31</f>
        <v>0</v>
      </c>
      <c r="O122" s="231">
        <f>O121/(1+Макро!O31)*Макро!O31</f>
        <v>0</v>
      </c>
      <c r="P122" s="390"/>
      <c r="Q122" s="159"/>
      <c r="R122" s="108"/>
      <c r="S122" s="108"/>
      <c r="T122" s="108"/>
      <c r="U122" s="108"/>
      <c r="V122" s="108"/>
    </row>
    <row r="123" spans="1:22" ht="30" outlineLevel="1" x14ac:dyDescent="0.25">
      <c r="A123" s="149"/>
      <c r="B123" s="178" t="s">
        <v>485</v>
      </c>
      <c r="C123" s="244" t="s">
        <v>19</v>
      </c>
      <c r="D123" s="248">
        <f>SUM(F123:O123)</f>
        <v>0</v>
      </c>
      <c r="E123" s="71"/>
      <c r="F123" s="231">
        <f t="shared" ref="F123:O123" si="48">F121-F122</f>
        <v>0</v>
      </c>
      <c r="G123" s="231">
        <f t="shared" si="48"/>
        <v>0</v>
      </c>
      <c r="H123" s="231">
        <f t="shared" si="48"/>
        <v>0</v>
      </c>
      <c r="I123" s="231">
        <f t="shared" si="48"/>
        <v>0</v>
      </c>
      <c r="J123" s="231">
        <f t="shared" si="48"/>
        <v>0</v>
      </c>
      <c r="K123" s="231">
        <f t="shared" si="48"/>
        <v>0</v>
      </c>
      <c r="L123" s="231">
        <f t="shared" si="48"/>
        <v>0</v>
      </c>
      <c r="M123" s="231">
        <f t="shared" si="48"/>
        <v>0</v>
      </c>
      <c r="N123" s="231">
        <f t="shared" si="48"/>
        <v>0</v>
      </c>
      <c r="O123" s="231">
        <f t="shared" si="48"/>
        <v>0</v>
      </c>
      <c r="P123" s="390"/>
      <c r="Q123" s="159"/>
      <c r="R123" s="108"/>
      <c r="S123" s="108"/>
      <c r="T123" s="108"/>
      <c r="U123" s="108"/>
      <c r="V123" s="108"/>
    </row>
    <row r="124" spans="1:22" ht="30" outlineLevel="1" x14ac:dyDescent="0.25">
      <c r="A124" s="149"/>
      <c r="B124" s="178" t="s">
        <v>130</v>
      </c>
      <c r="C124" s="244" t="s">
        <v>131</v>
      </c>
      <c r="D124" s="143"/>
      <c r="E124" s="71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71"/>
      <c r="Q124" s="159"/>
      <c r="R124" s="108"/>
      <c r="S124" s="108"/>
      <c r="T124" s="108"/>
      <c r="U124" s="108"/>
      <c r="V124" s="108"/>
    </row>
    <row r="125" spans="1:22" outlineLevel="1" x14ac:dyDescent="0.25">
      <c r="A125" s="149"/>
      <c r="B125" s="178" t="s">
        <v>101</v>
      </c>
      <c r="C125" s="244" t="s">
        <v>19</v>
      </c>
      <c r="D125" s="248">
        <f>SUM(F125:O125)</f>
        <v>0</v>
      </c>
      <c r="E125" s="71"/>
      <c r="F125" s="149"/>
      <c r="G125" s="231"/>
      <c r="H125" s="231">
        <f t="shared" ref="H125:O125" si="49">IF(H126&gt;=0,$D$60/$D$61,0)</f>
        <v>0</v>
      </c>
      <c r="I125" s="231">
        <f t="shared" si="49"/>
        <v>0</v>
      </c>
      <c r="J125" s="231">
        <f t="shared" si="49"/>
        <v>0</v>
      </c>
      <c r="K125" s="231">
        <f t="shared" si="49"/>
        <v>0</v>
      </c>
      <c r="L125" s="231">
        <f t="shared" si="49"/>
        <v>0</v>
      </c>
      <c r="M125" s="231">
        <f t="shared" si="49"/>
        <v>0</v>
      </c>
      <c r="N125" s="231">
        <f t="shared" si="49"/>
        <v>0</v>
      </c>
      <c r="O125" s="231">
        <f t="shared" si="49"/>
        <v>0</v>
      </c>
      <c r="P125" s="390"/>
      <c r="Q125" s="159"/>
      <c r="R125" s="108"/>
      <c r="S125" s="108"/>
      <c r="T125" s="108"/>
      <c r="U125" s="108"/>
      <c r="V125" s="108"/>
    </row>
    <row r="126" spans="1:22" outlineLevel="1" x14ac:dyDescent="0.25">
      <c r="A126" s="149"/>
      <c r="B126" s="563" t="s">
        <v>136</v>
      </c>
      <c r="C126" s="244"/>
      <c r="D126" s="698"/>
      <c r="E126" s="71"/>
      <c r="F126" s="149"/>
      <c r="G126" s="454">
        <f>D124</f>
        <v>0</v>
      </c>
      <c r="H126" s="454">
        <f t="shared" ref="H126:O126" si="50">G126-1</f>
        <v>-1</v>
      </c>
      <c r="I126" s="454">
        <f t="shared" si="50"/>
        <v>-2</v>
      </c>
      <c r="J126" s="454">
        <f t="shared" si="50"/>
        <v>-3</v>
      </c>
      <c r="K126" s="454">
        <f t="shared" si="50"/>
        <v>-4</v>
      </c>
      <c r="L126" s="454">
        <f t="shared" si="50"/>
        <v>-5</v>
      </c>
      <c r="M126" s="454">
        <f t="shared" si="50"/>
        <v>-6</v>
      </c>
      <c r="N126" s="454">
        <f t="shared" si="50"/>
        <v>-7</v>
      </c>
      <c r="O126" s="454">
        <f t="shared" si="50"/>
        <v>-8</v>
      </c>
      <c r="P126" s="454"/>
      <c r="Q126" s="159"/>
      <c r="R126" s="108"/>
      <c r="S126" s="108"/>
      <c r="T126" s="108"/>
      <c r="U126" s="108"/>
      <c r="V126" s="108"/>
    </row>
    <row r="127" spans="1:22" outlineLevel="1" x14ac:dyDescent="0.25">
      <c r="A127" s="559"/>
      <c r="B127" s="564" t="s">
        <v>190</v>
      </c>
      <c r="C127" s="699" t="s">
        <v>19</v>
      </c>
      <c r="D127" s="559"/>
      <c r="E127" s="71"/>
      <c r="F127" s="554">
        <f>F123</f>
        <v>0</v>
      </c>
      <c r="G127" s="554">
        <f>F127+G123</f>
        <v>0</v>
      </c>
      <c r="H127" s="554">
        <f t="shared" ref="H127:O127" si="51">G127-H125</f>
        <v>0</v>
      </c>
      <c r="I127" s="554">
        <f t="shared" si="51"/>
        <v>0</v>
      </c>
      <c r="J127" s="554">
        <f t="shared" si="51"/>
        <v>0</v>
      </c>
      <c r="K127" s="554">
        <f t="shared" si="51"/>
        <v>0</v>
      </c>
      <c r="L127" s="554">
        <f t="shared" si="51"/>
        <v>0</v>
      </c>
      <c r="M127" s="554">
        <f t="shared" si="51"/>
        <v>0</v>
      </c>
      <c r="N127" s="554">
        <f t="shared" si="51"/>
        <v>0</v>
      </c>
      <c r="O127" s="554">
        <f t="shared" si="51"/>
        <v>0</v>
      </c>
      <c r="P127" s="390"/>
      <c r="Q127" s="159"/>
      <c r="R127" s="108"/>
      <c r="S127" s="108"/>
      <c r="T127" s="108"/>
      <c r="U127" s="108"/>
      <c r="V127" s="108"/>
    </row>
    <row r="128" spans="1:22" outlineLevel="1" x14ac:dyDescent="0.25">
      <c r="A128" s="133"/>
      <c r="B128" s="182"/>
      <c r="C128" s="454"/>
      <c r="D128" s="133"/>
      <c r="E128" s="71"/>
      <c r="F128" s="133"/>
      <c r="G128" s="389"/>
      <c r="H128" s="389"/>
      <c r="I128" s="389"/>
      <c r="J128" s="389"/>
      <c r="K128" s="389"/>
      <c r="L128" s="389"/>
      <c r="M128" s="389"/>
      <c r="N128" s="389"/>
      <c r="O128" s="389"/>
      <c r="P128" s="390"/>
      <c r="Q128" s="159"/>
      <c r="R128" s="108"/>
      <c r="S128" s="108"/>
      <c r="T128" s="108"/>
      <c r="U128" s="108"/>
      <c r="V128" s="108"/>
    </row>
    <row r="129" spans="1:22" outlineLevel="1" x14ac:dyDescent="0.25">
      <c r="A129" s="558"/>
      <c r="B129" s="558" t="s">
        <v>198</v>
      </c>
      <c r="C129" s="558"/>
      <c r="D129" s="558"/>
      <c r="E129" s="71"/>
      <c r="F129" s="558"/>
      <c r="G129" s="558"/>
      <c r="H129" s="558"/>
      <c r="I129" s="558"/>
      <c r="J129" s="558"/>
      <c r="K129" s="558"/>
      <c r="L129" s="558"/>
      <c r="M129" s="558"/>
      <c r="N129" s="558"/>
      <c r="O129" s="558"/>
      <c r="P129" s="720"/>
      <c r="Q129" s="159"/>
      <c r="R129" s="108"/>
      <c r="S129" s="108"/>
      <c r="T129" s="108"/>
      <c r="U129" s="108"/>
      <c r="V129" s="108"/>
    </row>
    <row r="130" spans="1:22" outlineLevel="1" x14ac:dyDescent="0.25">
      <c r="A130" s="226" t="str" cm="1">
        <f t="array" aca="1" ref="A130" ca="1">HYPERLINK(CELL("адрес",Исходные!A31),"источник")</f>
        <v>источник</v>
      </c>
      <c r="B130" s="178" t="s">
        <v>189</v>
      </c>
      <c r="C130" s="244" t="s">
        <v>19</v>
      </c>
      <c r="D130" s="248">
        <f>SUM(F130:O130)</f>
        <v>0</v>
      </c>
      <c r="E130" s="71"/>
      <c r="F130" s="230">
        <f>Исходные!F31</f>
        <v>0</v>
      </c>
      <c r="G130" s="230">
        <f>Исходные!G31</f>
        <v>0</v>
      </c>
      <c r="H130" s="230">
        <f>Исходные!H31</f>
        <v>0</v>
      </c>
      <c r="I130" s="230">
        <f>Исходные!I31</f>
        <v>0</v>
      </c>
      <c r="J130" s="230">
        <f>Исходные!J31</f>
        <v>0</v>
      </c>
      <c r="K130" s="230">
        <f>Исходные!K31</f>
        <v>0</v>
      </c>
      <c r="L130" s="230">
        <f>Исходные!L31</f>
        <v>0</v>
      </c>
      <c r="M130" s="230">
        <f>Исходные!M31</f>
        <v>0</v>
      </c>
      <c r="N130" s="230">
        <f>Исходные!N31</f>
        <v>0</v>
      </c>
      <c r="O130" s="230">
        <f>Исходные!O31</f>
        <v>0</v>
      </c>
      <c r="P130" s="386"/>
      <c r="Q130" s="159"/>
      <c r="R130" s="108"/>
      <c r="S130" s="108"/>
      <c r="T130" s="108"/>
      <c r="U130" s="108"/>
      <c r="V130" s="108"/>
    </row>
    <row r="131" spans="1:22" outlineLevel="1" x14ac:dyDescent="0.25">
      <c r="A131" s="149"/>
      <c r="B131" s="178" t="s">
        <v>132</v>
      </c>
      <c r="C131" s="244" t="s">
        <v>19</v>
      </c>
      <c r="D131" s="248">
        <f>SUM(F131:O131)</f>
        <v>0</v>
      </c>
      <c r="E131" s="71"/>
      <c r="F131" s="231">
        <f>F130/(1+Макро!F31)*Макро!F31</f>
        <v>0</v>
      </c>
      <c r="G131" s="231">
        <f>G130/(1+Макро!G31)*Макро!G31</f>
        <v>0</v>
      </c>
      <c r="H131" s="231">
        <f>H130/(1+Макро!H31)*Макро!H31</f>
        <v>0</v>
      </c>
      <c r="I131" s="231">
        <f>I130/(1+Макро!I31)*Макро!I31</f>
        <v>0</v>
      </c>
      <c r="J131" s="231">
        <f>J130/(1+Макро!J31)*Макро!J31</f>
        <v>0</v>
      </c>
      <c r="K131" s="231">
        <f>K130/(1+Макро!K31)*Макро!K31</f>
        <v>0</v>
      </c>
      <c r="L131" s="231">
        <f>L130/(1+Макро!L31)*Макро!L31</f>
        <v>0</v>
      </c>
      <c r="M131" s="231">
        <f>M130/(1+Макро!M31)*Макро!M31</f>
        <v>0</v>
      </c>
      <c r="N131" s="231">
        <f>N130/(1+Макро!N31)*Макро!N31</f>
        <v>0</v>
      </c>
      <c r="O131" s="231">
        <f>O130/(1+Макро!O31)*Макро!O31</f>
        <v>0</v>
      </c>
      <c r="P131" s="390"/>
      <c r="Q131" s="159"/>
      <c r="R131" s="108"/>
      <c r="S131" s="108"/>
      <c r="T131" s="108"/>
      <c r="U131" s="108"/>
      <c r="V131" s="108"/>
    </row>
    <row r="132" spans="1:22" ht="30" outlineLevel="1" x14ac:dyDescent="0.25">
      <c r="A132" s="149"/>
      <c r="B132" s="178" t="s">
        <v>485</v>
      </c>
      <c r="C132" s="244" t="s">
        <v>19</v>
      </c>
      <c r="D132" s="248">
        <f>SUM(F132:O132)</f>
        <v>0</v>
      </c>
      <c r="E132" s="71"/>
      <c r="F132" s="231">
        <f t="shared" ref="F132:O132" si="52">F130-F131</f>
        <v>0</v>
      </c>
      <c r="G132" s="231">
        <f t="shared" si="52"/>
        <v>0</v>
      </c>
      <c r="H132" s="231">
        <f t="shared" si="52"/>
        <v>0</v>
      </c>
      <c r="I132" s="231">
        <f t="shared" si="52"/>
        <v>0</v>
      </c>
      <c r="J132" s="231">
        <f t="shared" si="52"/>
        <v>0</v>
      </c>
      <c r="K132" s="231">
        <f t="shared" si="52"/>
        <v>0</v>
      </c>
      <c r="L132" s="231">
        <f t="shared" si="52"/>
        <v>0</v>
      </c>
      <c r="M132" s="231">
        <f t="shared" si="52"/>
        <v>0</v>
      </c>
      <c r="N132" s="231">
        <f t="shared" si="52"/>
        <v>0</v>
      </c>
      <c r="O132" s="231">
        <f t="shared" si="52"/>
        <v>0</v>
      </c>
      <c r="P132" s="390"/>
      <c r="Q132" s="159"/>
      <c r="R132" s="108"/>
      <c r="S132" s="108"/>
      <c r="T132" s="108"/>
      <c r="U132" s="108"/>
      <c r="V132" s="108"/>
    </row>
    <row r="133" spans="1:22" ht="30" outlineLevel="1" x14ac:dyDescent="0.25">
      <c r="A133" s="149"/>
      <c r="B133" s="178" t="s">
        <v>130</v>
      </c>
      <c r="C133" s="244" t="s">
        <v>131</v>
      </c>
      <c r="D133" s="143"/>
      <c r="E133" s="71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71"/>
      <c r="Q133" s="159"/>
      <c r="R133" s="108"/>
      <c r="S133" s="108"/>
      <c r="T133" s="108"/>
      <c r="U133" s="108"/>
      <c r="V133" s="108"/>
    </row>
    <row r="134" spans="1:22" outlineLevel="1" x14ac:dyDescent="0.25">
      <c r="A134" s="149"/>
      <c r="B134" s="178" t="s">
        <v>101</v>
      </c>
      <c r="C134" s="244" t="s">
        <v>19</v>
      </c>
      <c r="D134" s="248">
        <f>SUM(F134:O134)</f>
        <v>0</v>
      </c>
      <c r="E134" s="71"/>
      <c r="F134" s="149"/>
      <c r="G134" s="231"/>
      <c r="H134" s="231">
        <f t="shared" ref="H134:O134" si="53">IF(H135&gt;=0,$D$60/$D$61,0)</f>
        <v>0</v>
      </c>
      <c r="I134" s="231">
        <f t="shared" si="53"/>
        <v>0</v>
      </c>
      <c r="J134" s="231">
        <f t="shared" si="53"/>
        <v>0</v>
      </c>
      <c r="K134" s="231">
        <f t="shared" si="53"/>
        <v>0</v>
      </c>
      <c r="L134" s="231">
        <f t="shared" si="53"/>
        <v>0</v>
      </c>
      <c r="M134" s="231">
        <f t="shared" si="53"/>
        <v>0</v>
      </c>
      <c r="N134" s="231">
        <f t="shared" si="53"/>
        <v>0</v>
      </c>
      <c r="O134" s="231">
        <f t="shared" si="53"/>
        <v>0</v>
      </c>
      <c r="P134" s="390"/>
      <c r="Q134" s="159"/>
      <c r="R134" s="108"/>
      <c r="S134" s="108"/>
      <c r="T134" s="108"/>
      <c r="U134" s="108"/>
      <c r="V134" s="108"/>
    </row>
    <row r="135" spans="1:22" outlineLevel="1" x14ac:dyDescent="0.25">
      <c r="A135" s="149"/>
      <c r="B135" s="563" t="s">
        <v>136</v>
      </c>
      <c r="C135" s="244"/>
      <c r="D135" s="698"/>
      <c r="E135" s="71"/>
      <c r="F135" s="149"/>
      <c r="G135" s="454">
        <f>D133</f>
        <v>0</v>
      </c>
      <c r="H135" s="454">
        <f t="shared" ref="H135:O135" si="54">G135-1</f>
        <v>-1</v>
      </c>
      <c r="I135" s="454">
        <f t="shared" si="54"/>
        <v>-2</v>
      </c>
      <c r="J135" s="454">
        <f t="shared" si="54"/>
        <v>-3</v>
      </c>
      <c r="K135" s="454">
        <f t="shared" si="54"/>
        <v>-4</v>
      </c>
      <c r="L135" s="454">
        <f t="shared" si="54"/>
        <v>-5</v>
      </c>
      <c r="M135" s="454">
        <f t="shared" si="54"/>
        <v>-6</v>
      </c>
      <c r="N135" s="454">
        <f t="shared" si="54"/>
        <v>-7</v>
      </c>
      <c r="O135" s="454">
        <f t="shared" si="54"/>
        <v>-8</v>
      </c>
      <c r="P135" s="454"/>
      <c r="Q135" s="159"/>
      <c r="R135" s="108"/>
      <c r="S135" s="108"/>
      <c r="T135" s="108"/>
      <c r="U135" s="108"/>
      <c r="V135" s="108"/>
    </row>
    <row r="136" spans="1:22" outlineLevel="1" x14ac:dyDescent="0.25">
      <c r="A136" s="559"/>
      <c r="B136" s="564" t="s">
        <v>190</v>
      </c>
      <c r="C136" s="699" t="s">
        <v>19</v>
      </c>
      <c r="D136" s="559"/>
      <c r="E136" s="71"/>
      <c r="F136" s="554">
        <f>F132</f>
        <v>0</v>
      </c>
      <c r="G136" s="554">
        <f>F136+G132</f>
        <v>0</v>
      </c>
      <c r="H136" s="554">
        <f t="shared" ref="H136:O136" si="55">G136-H134</f>
        <v>0</v>
      </c>
      <c r="I136" s="554">
        <f t="shared" si="55"/>
        <v>0</v>
      </c>
      <c r="J136" s="554">
        <f t="shared" si="55"/>
        <v>0</v>
      </c>
      <c r="K136" s="554">
        <f t="shared" si="55"/>
        <v>0</v>
      </c>
      <c r="L136" s="554">
        <f t="shared" si="55"/>
        <v>0</v>
      </c>
      <c r="M136" s="554">
        <f t="shared" si="55"/>
        <v>0</v>
      </c>
      <c r="N136" s="554">
        <f t="shared" si="55"/>
        <v>0</v>
      </c>
      <c r="O136" s="554">
        <f t="shared" si="55"/>
        <v>0</v>
      </c>
      <c r="P136" s="390"/>
      <c r="Q136" s="159"/>
      <c r="R136" s="108"/>
      <c r="S136" s="108"/>
      <c r="T136" s="108"/>
      <c r="U136" s="108"/>
      <c r="V136" s="108"/>
    </row>
    <row r="137" spans="1:22" outlineLevel="1" x14ac:dyDescent="0.25">
      <c r="A137" s="133"/>
      <c r="B137" s="182"/>
      <c r="C137" s="454"/>
      <c r="D137" s="133"/>
      <c r="E137" s="71"/>
      <c r="F137" s="133"/>
      <c r="G137" s="389"/>
      <c r="H137" s="389"/>
      <c r="I137" s="389"/>
      <c r="J137" s="389"/>
      <c r="K137" s="389"/>
      <c r="L137" s="389"/>
      <c r="M137" s="389"/>
      <c r="N137" s="389"/>
      <c r="O137" s="389"/>
      <c r="P137" s="390"/>
      <c r="Q137" s="159"/>
      <c r="R137" s="108"/>
      <c r="S137" s="108"/>
      <c r="T137" s="108"/>
      <c r="U137" s="108"/>
      <c r="V137" s="108"/>
    </row>
    <row r="138" spans="1:22" outlineLevel="1" x14ac:dyDescent="0.25">
      <c r="A138" s="558"/>
      <c r="B138" s="558" t="s">
        <v>199</v>
      </c>
      <c r="C138" s="558"/>
      <c r="D138" s="558"/>
      <c r="E138" s="71"/>
      <c r="F138" s="558"/>
      <c r="G138" s="558"/>
      <c r="H138" s="558"/>
      <c r="I138" s="558"/>
      <c r="J138" s="558"/>
      <c r="K138" s="558"/>
      <c r="L138" s="558"/>
      <c r="M138" s="558"/>
      <c r="N138" s="558"/>
      <c r="O138" s="558"/>
      <c r="P138" s="720"/>
      <c r="Q138" s="159"/>
      <c r="R138" s="108"/>
      <c r="S138" s="108"/>
      <c r="T138" s="108"/>
      <c r="U138" s="108"/>
      <c r="V138" s="108"/>
    </row>
    <row r="139" spans="1:22" outlineLevel="1" x14ac:dyDescent="0.25">
      <c r="A139" s="226" t="str" cm="1">
        <f t="array" aca="1" ref="A139" ca="1">HYPERLINK(CELL("адрес",Исходные!A32),"источник")</f>
        <v>источник</v>
      </c>
      <c r="B139" s="178" t="s">
        <v>189</v>
      </c>
      <c r="C139" s="244" t="s">
        <v>19</v>
      </c>
      <c r="D139" s="248">
        <f>SUM(F139:O139)</f>
        <v>0</v>
      </c>
      <c r="E139" s="71"/>
      <c r="F139" s="230">
        <f>Исходные!F32</f>
        <v>0</v>
      </c>
      <c r="G139" s="230">
        <f>Исходные!G32</f>
        <v>0</v>
      </c>
      <c r="H139" s="230">
        <f>Исходные!H32</f>
        <v>0</v>
      </c>
      <c r="I139" s="230">
        <f>Исходные!I32</f>
        <v>0</v>
      </c>
      <c r="J139" s="230">
        <f>Исходные!J32</f>
        <v>0</v>
      </c>
      <c r="K139" s="230">
        <f>Исходные!K32</f>
        <v>0</v>
      </c>
      <c r="L139" s="230">
        <f>Исходные!L32</f>
        <v>0</v>
      </c>
      <c r="M139" s="230">
        <f>Исходные!M32</f>
        <v>0</v>
      </c>
      <c r="N139" s="230">
        <f>Исходные!N32</f>
        <v>0</v>
      </c>
      <c r="O139" s="230">
        <f>Исходные!O32</f>
        <v>0</v>
      </c>
      <c r="P139" s="386"/>
      <c r="Q139" s="159"/>
      <c r="R139" s="108"/>
      <c r="S139" s="108"/>
      <c r="T139" s="108"/>
      <c r="U139" s="108"/>
      <c r="V139" s="108"/>
    </row>
    <row r="140" spans="1:22" outlineLevel="1" x14ac:dyDescent="0.25">
      <c r="A140" s="149"/>
      <c r="B140" s="178" t="s">
        <v>132</v>
      </c>
      <c r="C140" s="244" t="s">
        <v>19</v>
      </c>
      <c r="D140" s="248">
        <f>SUM(F140:O140)</f>
        <v>0</v>
      </c>
      <c r="E140" s="71"/>
      <c r="F140" s="231">
        <f>F139/(1+Макро!F31)*Макро!F31</f>
        <v>0</v>
      </c>
      <c r="G140" s="231">
        <f>G139/(1+Макро!G31)*Макро!G31</f>
        <v>0</v>
      </c>
      <c r="H140" s="231">
        <f>H139/(1+Макро!H31)*Макро!H31</f>
        <v>0</v>
      </c>
      <c r="I140" s="231">
        <f>I139/(1+Макро!I31)*Макро!I31</f>
        <v>0</v>
      </c>
      <c r="J140" s="231">
        <f>J139/(1+Макро!J31)*Макро!J31</f>
        <v>0</v>
      </c>
      <c r="K140" s="231">
        <f>K139/(1+Макро!K31)*Макро!K31</f>
        <v>0</v>
      </c>
      <c r="L140" s="231">
        <f>L139/(1+Макро!L31)*Макро!L31</f>
        <v>0</v>
      </c>
      <c r="M140" s="231">
        <f>M139/(1+Макро!M31)*Макро!M31</f>
        <v>0</v>
      </c>
      <c r="N140" s="231">
        <f>N139/(1+Макро!N31)*Макро!N31</f>
        <v>0</v>
      </c>
      <c r="O140" s="231">
        <f>O139/(1+Макро!O31)*Макро!O31</f>
        <v>0</v>
      </c>
      <c r="P140" s="390"/>
      <c r="Q140" s="159"/>
      <c r="R140" s="108"/>
      <c r="S140" s="108"/>
      <c r="T140" s="108"/>
      <c r="U140" s="108"/>
      <c r="V140" s="108"/>
    </row>
    <row r="141" spans="1:22" ht="30" outlineLevel="1" x14ac:dyDescent="0.25">
      <c r="A141" s="149"/>
      <c r="B141" s="178" t="s">
        <v>485</v>
      </c>
      <c r="C141" s="244" t="s">
        <v>19</v>
      </c>
      <c r="D141" s="248">
        <f>SUM(F141:O141)</f>
        <v>0</v>
      </c>
      <c r="E141" s="71"/>
      <c r="F141" s="231">
        <f t="shared" ref="F141:O141" si="56">F139-F140</f>
        <v>0</v>
      </c>
      <c r="G141" s="231">
        <f t="shared" si="56"/>
        <v>0</v>
      </c>
      <c r="H141" s="231">
        <f t="shared" si="56"/>
        <v>0</v>
      </c>
      <c r="I141" s="231">
        <f t="shared" si="56"/>
        <v>0</v>
      </c>
      <c r="J141" s="231">
        <f t="shared" si="56"/>
        <v>0</v>
      </c>
      <c r="K141" s="231">
        <f t="shared" si="56"/>
        <v>0</v>
      </c>
      <c r="L141" s="231">
        <f t="shared" si="56"/>
        <v>0</v>
      </c>
      <c r="M141" s="231">
        <f t="shared" si="56"/>
        <v>0</v>
      </c>
      <c r="N141" s="231">
        <f t="shared" si="56"/>
        <v>0</v>
      </c>
      <c r="O141" s="231">
        <f t="shared" si="56"/>
        <v>0</v>
      </c>
      <c r="P141" s="390"/>
      <c r="Q141" s="159"/>
      <c r="R141" s="108"/>
      <c r="S141" s="108"/>
      <c r="T141" s="108"/>
      <c r="U141" s="108"/>
      <c r="V141" s="108"/>
    </row>
    <row r="142" spans="1:22" ht="30" outlineLevel="1" x14ac:dyDescent="0.25">
      <c r="A142" s="149"/>
      <c r="B142" s="178" t="s">
        <v>130</v>
      </c>
      <c r="C142" s="244" t="s">
        <v>131</v>
      </c>
      <c r="D142" s="143"/>
      <c r="E142" s="71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71"/>
      <c r="Q142" s="159"/>
      <c r="R142" s="108"/>
      <c r="S142" s="108"/>
      <c r="T142" s="108"/>
      <c r="U142" s="108"/>
      <c r="V142" s="108"/>
    </row>
    <row r="143" spans="1:22" outlineLevel="1" x14ac:dyDescent="0.25">
      <c r="A143" s="149"/>
      <c r="B143" s="178" t="s">
        <v>101</v>
      </c>
      <c r="C143" s="244" t="s">
        <v>19</v>
      </c>
      <c r="D143" s="248">
        <f>SUM(F143:O143)</f>
        <v>0</v>
      </c>
      <c r="E143" s="71"/>
      <c r="F143" s="149"/>
      <c r="G143" s="231"/>
      <c r="H143" s="231">
        <f t="shared" ref="H143:O143" si="57">IF(H144&gt;=0,$D$60/$D$61,0)</f>
        <v>0</v>
      </c>
      <c r="I143" s="231">
        <f t="shared" si="57"/>
        <v>0</v>
      </c>
      <c r="J143" s="231">
        <f t="shared" si="57"/>
        <v>0</v>
      </c>
      <c r="K143" s="231">
        <f t="shared" si="57"/>
        <v>0</v>
      </c>
      <c r="L143" s="231">
        <f t="shared" si="57"/>
        <v>0</v>
      </c>
      <c r="M143" s="231">
        <f t="shared" si="57"/>
        <v>0</v>
      </c>
      <c r="N143" s="231">
        <f t="shared" si="57"/>
        <v>0</v>
      </c>
      <c r="O143" s="231">
        <f t="shared" si="57"/>
        <v>0</v>
      </c>
      <c r="P143" s="390"/>
      <c r="Q143" s="159"/>
      <c r="R143" s="108"/>
      <c r="S143" s="108"/>
      <c r="T143" s="108"/>
      <c r="U143" s="108"/>
      <c r="V143" s="108"/>
    </row>
    <row r="144" spans="1:22" outlineLevel="1" x14ac:dyDescent="0.25">
      <c r="A144" s="149"/>
      <c r="B144" s="563" t="s">
        <v>136</v>
      </c>
      <c r="C144" s="244"/>
      <c r="D144" s="698"/>
      <c r="E144" s="71"/>
      <c r="F144" s="149"/>
      <c r="G144" s="454">
        <f>D142</f>
        <v>0</v>
      </c>
      <c r="H144" s="454">
        <f t="shared" ref="H144:O144" si="58">G144-1</f>
        <v>-1</v>
      </c>
      <c r="I144" s="454">
        <f t="shared" si="58"/>
        <v>-2</v>
      </c>
      <c r="J144" s="454">
        <f t="shared" si="58"/>
        <v>-3</v>
      </c>
      <c r="K144" s="454">
        <f t="shared" si="58"/>
        <v>-4</v>
      </c>
      <c r="L144" s="454">
        <f t="shared" si="58"/>
        <v>-5</v>
      </c>
      <c r="M144" s="454">
        <f t="shared" si="58"/>
        <v>-6</v>
      </c>
      <c r="N144" s="454">
        <f t="shared" si="58"/>
        <v>-7</v>
      </c>
      <c r="O144" s="454">
        <f t="shared" si="58"/>
        <v>-8</v>
      </c>
      <c r="P144" s="454"/>
      <c r="Q144" s="159"/>
      <c r="R144" s="108"/>
      <c r="S144" s="108"/>
      <c r="T144" s="108"/>
      <c r="U144" s="108"/>
      <c r="V144" s="108"/>
    </row>
    <row r="145" spans="1:22" outlineLevel="1" x14ac:dyDescent="0.25">
      <c r="A145" s="559"/>
      <c r="B145" s="564" t="s">
        <v>190</v>
      </c>
      <c r="C145" s="699" t="s">
        <v>19</v>
      </c>
      <c r="D145" s="559"/>
      <c r="E145" s="71"/>
      <c r="F145" s="554">
        <f>F141</f>
        <v>0</v>
      </c>
      <c r="G145" s="554">
        <f>F145+G141</f>
        <v>0</v>
      </c>
      <c r="H145" s="554">
        <f t="shared" ref="H145:O145" si="59">G145-H143</f>
        <v>0</v>
      </c>
      <c r="I145" s="554">
        <f t="shared" si="59"/>
        <v>0</v>
      </c>
      <c r="J145" s="554">
        <f t="shared" si="59"/>
        <v>0</v>
      </c>
      <c r="K145" s="554">
        <f t="shared" si="59"/>
        <v>0</v>
      </c>
      <c r="L145" s="554">
        <f t="shared" si="59"/>
        <v>0</v>
      </c>
      <c r="M145" s="554">
        <f t="shared" si="59"/>
        <v>0</v>
      </c>
      <c r="N145" s="554">
        <f t="shared" si="59"/>
        <v>0</v>
      </c>
      <c r="O145" s="554">
        <f t="shared" si="59"/>
        <v>0</v>
      </c>
      <c r="P145" s="390"/>
      <c r="Q145" s="159"/>
      <c r="R145" s="108"/>
      <c r="S145" s="108"/>
      <c r="T145" s="108"/>
      <c r="U145" s="108"/>
      <c r="V145" s="108"/>
    </row>
    <row r="146" spans="1:22" outlineLevel="1" x14ac:dyDescent="0.25">
      <c r="A146" s="133"/>
      <c r="B146" s="182"/>
      <c r="C146" s="454"/>
      <c r="D146" s="133"/>
      <c r="E146" s="71"/>
      <c r="F146" s="133"/>
      <c r="G146" s="389"/>
      <c r="H146" s="389"/>
      <c r="I146" s="389"/>
      <c r="J146" s="389"/>
      <c r="K146" s="389"/>
      <c r="L146" s="389"/>
      <c r="M146" s="389"/>
      <c r="N146" s="389"/>
      <c r="O146" s="389"/>
      <c r="P146" s="390"/>
      <c r="Q146" s="159"/>
      <c r="R146" s="108"/>
      <c r="S146" s="108"/>
      <c r="T146" s="108"/>
      <c r="U146" s="108"/>
      <c r="V146" s="108"/>
    </row>
    <row r="147" spans="1:22" outlineLevel="1" x14ac:dyDescent="0.25">
      <c r="A147" s="558"/>
      <c r="B147" s="558" t="s">
        <v>200</v>
      </c>
      <c r="C147" s="558"/>
      <c r="D147" s="558"/>
      <c r="E147" s="71"/>
      <c r="F147" s="558"/>
      <c r="G147" s="558"/>
      <c r="H147" s="558"/>
      <c r="I147" s="558"/>
      <c r="J147" s="558"/>
      <c r="K147" s="558"/>
      <c r="L147" s="558"/>
      <c r="M147" s="558"/>
      <c r="N147" s="558"/>
      <c r="O147" s="558"/>
      <c r="P147" s="720"/>
      <c r="Q147" s="159"/>
      <c r="R147" s="108"/>
      <c r="S147" s="108"/>
      <c r="T147" s="108"/>
      <c r="U147" s="108"/>
      <c r="V147" s="108"/>
    </row>
    <row r="148" spans="1:22" outlineLevel="1" x14ac:dyDescent="0.25">
      <c r="A148" s="226" t="str" cm="1">
        <f t="array" aca="1" ref="A148" ca="1">HYPERLINK(CELL("адрес",Исходные!A33),"источник")</f>
        <v>источник</v>
      </c>
      <c r="B148" s="178" t="s">
        <v>189</v>
      </c>
      <c r="C148" s="244" t="s">
        <v>19</v>
      </c>
      <c r="D148" s="248">
        <f>SUM(F148:O148)</f>
        <v>0</v>
      </c>
      <c r="E148" s="71"/>
      <c r="F148" s="230">
        <f>Исходные!F33</f>
        <v>0</v>
      </c>
      <c r="G148" s="230">
        <f>Исходные!G33</f>
        <v>0</v>
      </c>
      <c r="H148" s="230">
        <f>Исходные!H33</f>
        <v>0</v>
      </c>
      <c r="I148" s="230">
        <f>Исходные!I33</f>
        <v>0</v>
      </c>
      <c r="J148" s="230">
        <f>Исходные!J33</f>
        <v>0</v>
      </c>
      <c r="K148" s="230">
        <f>Исходные!K33</f>
        <v>0</v>
      </c>
      <c r="L148" s="230">
        <f>Исходные!L33</f>
        <v>0</v>
      </c>
      <c r="M148" s="230">
        <f>Исходные!M33</f>
        <v>0</v>
      </c>
      <c r="N148" s="230">
        <f>Исходные!N33</f>
        <v>0</v>
      </c>
      <c r="O148" s="230">
        <f>Исходные!O33</f>
        <v>0</v>
      </c>
      <c r="P148" s="386"/>
      <c r="Q148" s="159"/>
      <c r="R148" s="108"/>
      <c r="S148" s="108"/>
      <c r="T148" s="108"/>
      <c r="U148" s="108"/>
      <c r="V148" s="108"/>
    </row>
    <row r="149" spans="1:22" outlineLevel="1" x14ac:dyDescent="0.25">
      <c r="A149" s="149"/>
      <c r="B149" s="178" t="s">
        <v>132</v>
      </c>
      <c r="C149" s="244" t="s">
        <v>19</v>
      </c>
      <c r="D149" s="248">
        <f>SUM(F149:O149)</f>
        <v>0</v>
      </c>
      <c r="E149" s="71"/>
      <c r="F149" s="231">
        <f>F148/(1+Макро!F31)*Макро!F31</f>
        <v>0</v>
      </c>
      <c r="G149" s="231">
        <f>G148/(1+Макро!G31)*Макро!G31</f>
        <v>0</v>
      </c>
      <c r="H149" s="231">
        <f>H148/(1+Макро!H31)*Макро!H31</f>
        <v>0</v>
      </c>
      <c r="I149" s="231">
        <f>I148/(1+Макро!I31)*Макро!I31</f>
        <v>0</v>
      </c>
      <c r="J149" s="231">
        <f>J148/(1+Макро!J31)*Макро!J31</f>
        <v>0</v>
      </c>
      <c r="K149" s="231">
        <f>K148/(1+Макро!K31)*Макро!K31</f>
        <v>0</v>
      </c>
      <c r="L149" s="231">
        <f>L148/(1+Макро!L31)*Макро!L31</f>
        <v>0</v>
      </c>
      <c r="M149" s="231">
        <f>M148/(1+Макро!M31)*Макро!M31</f>
        <v>0</v>
      </c>
      <c r="N149" s="231">
        <f>N148/(1+Макро!N31)*Макро!N31</f>
        <v>0</v>
      </c>
      <c r="O149" s="231">
        <f>O148/(1+Макро!O31)*Макро!O31</f>
        <v>0</v>
      </c>
      <c r="P149" s="390"/>
      <c r="Q149" s="159"/>
      <c r="R149" s="108"/>
      <c r="S149" s="108"/>
      <c r="T149" s="108"/>
      <c r="U149" s="108"/>
      <c r="V149" s="108"/>
    </row>
    <row r="150" spans="1:22" ht="30" outlineLevel="1" x14ac:dyDescent="0.25">
      <c r="A150" s="149"/>
      <c r="B150" s="178" t="s">
        <v>485</v>
      </c>
      <c r="C150" s="244" t="s">
        <v>19</v>
      </c>
      <c r="D150" s="248">
        <f>SUM(F150:O150)</f>
        <v>0</v>
      </c>
      <c r="E150" s="71"/>
      <c r="F150" s="231">
        <f t="shared" ref="F150:O150" si="60">F148-F149</f>
        <v>0</v>
      </c>
      <c r="G150" s="231">
        <f t="shared" si="60"/>
        <v>0</v>
      </c>
      <c r="H150" s="231">
        <f t="shared" si="60"/>
        <v>0</v>
      </c>
      <c r="I150" s="231">
        <f t="shared" si="60"/>
        <v>0</v>
      </c>
      <c r="J150" s="231">
        <f t="shared" si="60"/>
        <v>0</v>
      </c>
      <c r="K150" s="231">
        <f t="shared" si="60"/>
        <v>0</v>
      </c>
      <c r="L150" s="231">
        <f t="shared" si="60"/>
        <v>0</v>
      </c>
      <c r="M150" s="231">
        <f t="shared" si="60"/>
        <v>0</v>
      </c>
      <c r="N150" s="231">
        <f t="shared" si="60"/>
        <v>0</v>
      </c>
      <c r="O150" s="231">
        <f t="shared" si="60"/>
        <v>0</v>
      </c>
      <c r="P150" s="390"/>
      <c r="Q150" s="159"/>
      <c r="R150" s="108"/>
      <c r="S150" s="108"/>
      <c r="T150" s="108"/>
      <c r="U150" s="108"/>
      <c r="V150" s="108"/>
    </row>
    <row r="151" spans="1:22" ht="30" outlineLevel="1" x14ac:dyDescent="0.25">
      <c r="A151" s="149"/>
      <c r="B151" s="178" t="s">
        <v>130</v>
      </c>
      <c r="C151" s="244" t="s">
        <v>131</v>
      </c>
      <c r="D151" s="143"/>
      <c r="E151" s="71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71"/>
      <c r="Q151" s="159"/>
      <c r="R151" s="108"/>
      <c r="S151" s="108"/>
      <c r="T151" s="108"/>
      <c r="U151" s="108"/>
      <c r="V151" s="108"/>
    </row>
    <row r="152" spans="1:22" outlineLevel="1" x14ac:dyDescent="0.25">
      <c r="A152" s="149"/>
      <c r="B152" s="178" t="s">
        <v>101</v>
      </c>
      <c r="C152" s="244" t="s">
        <v>19</v>
      </c>
      <c r="D152" s="248">
        <f>SUM(F152:O152)</f>
        <v>0</v>
      </c>
      <c r="E152" s="71"/>
      <c r="F152" s="149"/>
      <c r="G152" s="231"/>
      <c r="H152" s="231">
        <f t="shared" ref="H152:O152" si="61">IF(H153&gt;=0,$D$60/$D$61,0)</f>
        <v>0</v>
      </c>
      <c r="I152" s="231">
        <f t="shared" si="61"/>
        <v>0</v>
      </c>
      <c r="J152" s="231">
        <f t="shared" si="61"/>
        <v>0</v>
      </c>
      <c r="K152" s="231">
        <f t="shared" si="61"/>
        <v>0</v>
      </c>
      <c r="L152" s="231">
        <f t="shared" si="61"/>
        <v>0</v>
      </c>
      <c r="M152" s="231">
        <f t="shared" si="61"/>
        <v>0</v>
      </c>
      <c r="N152" s="231">
        <f t="shared" si="61"/>
        <v>0</v>
      </c>
      <c r="O152" s="231">
        <f t="shared" si="61"/>
        <v>0</v>
      </c>
      <c r="P152" s="390"/>
      <c r="Q152" s="159"/>
      <c r="R152" s="108"/>
      <c r="S152" s="108"/>
      <c r="T152" s="108"/>
      <c r="U152" s="108"/>
      <c r="V152" s="108"/>
    </row>
    <row r="153" spans="1:22" outlineLevel="1" x14ac:dyDescent="0.25">
      <c r="A153" s="149"/>
      <c r="B153" s="563" t="s">
        <v>136</v>
      </c>
      <c r="C153" s="244"/>
      <c r="D153" s="698"/>
      <c r="E153" s="71"/>
      <c r="F153" s="149"/>
      <c r="G153" s="454">
        <f>D151</f>
        <v>0</v>
      </c>
      <c r="H153" s="454">
        <f t="shared" ref="H153:O153" si="62">G153-1</f>
        <v>-1</v>
      </c>
      <c r="I153" s="454">
        <f t="shared" si="62"/>
        <v>-2</v>
      </c>
      <c r="J153" s="454">
        <f t="shared" si="62"/>
        <v>-3</v>
      </c>
      <c r="K153" s="454">
        <f t="shared" si="62"/>
        <v>-4</v>
      </c>
      <c r="L153" s="454">
        <f t="shared" si="62"/>
        <v>-5</v>
      </c>
      <c r="M153" s="454">
        <f t="shared" si="62"/>
        <v>-6</v>
      </c>
      <c r="N153" s="454">
        <f t="shared" si="62"/>
        <v>-7</v>
      </c>
      <c r="O153" s="454">
        <f t="shared" si="62"/>
        <v>-8</v>
      </c>
      <c r="P153" s="454"/>
      <c r="Q153" s="159"/>
      <c r="R153" s="108"/>
      <c r="S153" s="108"/>
      <c r="T153" s="108"/>
      <c r="U153" s="108"/>
      <c r="V153" s="108"/>
    </row>
    <row r="154" spans="1:22" outlineLevel="1" x14ac:dyDescent="0.25">
      <c r="A154" s="559"/>
      <c r="B154" s="564" t="s">
        <v>190</v>
      </c>
      <c r="C154" s="699" t="s">
        <v>19</v>
      </c>
      <c r="D154" s="559"/>
      <c r="E154" s="71"/>
      <c r="F154" s="554">
        <f>F150</f>
        <v>0</v>
      </c>
      <c r="G154" s="554">
        <f>F154+G150</f>
        <v>0</v>
      </c>
      <c r="H154" s="554">
        <f t="shared" ref="H154:O154" si="63">G154-H152</f>
        <v>0</v>
      </c>
      <c r="I154" s="554">
        <f t="shared" si="63"/>
        <v>0</v>
      </c>
      <c r="J154" s="554">
        <f t="shared" si="63"/>
        <v>0</v>
      </c>
      <c r="K154" s="554">
        <f t="shared" si="63"/>
        <v>0</v>
      </c>
      <c r="L154" s="554">
        <f t="shared" si="63"/>
        <v>0</v>
      </c>
      <c r="M154" s="554">
        <f t="shared" si="63"/>
        <v>0</v>
      </c>
      <c r="N154" s="554">
        <f t="shared" si="63"/>
        <v>0</v>
      </c>
      <c r="O154" s="554">
        <f t="shared" si="63"/>
        <v>0</v>
      </c>
      <c r="P154" s="390"/>
      <c r="Q154" s="159"/>
      <c r="R154" s="108"/>
      <c r="S154" s="108"/>
      <c r="T154" s="108"/>
      <c r="U154" s="108"/>
      <c r="V154" s="108"/>
    </row>
    <row r="155" spans="1:22" outlineLevel="1" x14ac:dyDescent="0.25">
      <c r="A155" s="133"/>
      <c r="B155" s="182"/>
      <c r="C155" s="244"/>
      <c r="D155" s="560"/>
      <c r="E155" s="71"/>
      <c r="F155" s="133"/>
      <c r="G155" s="389"/>
      <c r="H155" s="389"/>
      <c r="I155" s="389"/>
      <c r="J155" s="389"/>
      <c r="K155" s="389"/>
      <c r="L155" s="389"/>
      <c r="M155" s="389"/>
      <c r="N155" s="389"/>
      <c r="O155" s="389"/>
      <c r="P155" s="390"/>
      <c r="Q155" s="159"/>
      <c r="R155" s="108"/>
      <c r="S155" s="108"/>
      <c r="T155" s="108"/>
      <c r="U155" s="108"/>
      <c r="V155" s="108"/>
    </row>
    <row r="156" spans="1:22" outlineLevel="1" x14ac:dyDescent="0.25">
      <c r="A156" s="133"/>
      <c r="B156" s="182"/>
      <c r="C156" s="244"/>
      <c r="D156" s="133"/>
      <c r="E156" s="71"/>
      <c r="F156" s="133"/>
      <c r="G156" s="389"/>
      <c r="H156" s="389"/>
      <c r="I156" s="389"/>
      <c r="J156" s="389"/>
      <c r="K156" s="389"/>
      <c r="L156" s="389"/>
      <c r="M156" s="389"/>
      <c r="N156" s="389"/>
      <c r="O156" s="389"/>
      <c r="P156" s="390"/>
      <c r="Q156" s="159"/>
      <c r="R156" s="108"/>
      <c r="S156" s="108"/>
      <c r="T156" s="108"/>
      <c r="U156" s="108"/>
      <c r="V156" s="108"/>
    </row>
    <row r="157" spans="1:22" outlineLevel="1" x14ac:dyDescent="0.25">
      <c r="A157" s="133"/>
      <c r="B157" s="182"/>
      <c r="C157" s="244"/>
      <c r="D157" s="133"/>
      <c r="E157" s="71"/>
      <c r="F157" s="133"/>
      <c r="G157" s="389"/>
      <c r="H157" s="389"/>
      <c r="I157" s="389"/>
      <c r="J157" s="389"/>
      <c r="K157" s="389"/>
      <c r="L157" s="389"/>
      <c r="M157" s="389"/>
      <c r="N157" s="389"/>
      <c r="O157" s="389"/>
      <c r="P157" s="390"/>
      <c r="Q157" s="159"/>
      <c r="R157" s="108"/>
      <c r="S157" s="108"/>
      <c r="T157" s="108"/>
      <c r="U157" s="108"/>
      <c r="V157" s="108"/>
    </row>
    <row r="158" spans="1:22" outlineLevel="1" x14ac:dyDescent="0.25">
      <c r="A158" s="133"/>
      <c r="B158" s="182"/>
      <c r="C158" s="244"/>
      <c r="D158" s="133"/>
      <c r="E158" s="71"/>
      <c r="F158" s="133"/>
      <c r="G158" s="389"/>
      <c r="H158" s="389"/>
      <c r="I158" s="389"/>
      <c r="J158" s="389"/>
      <c r="K158" s="389"/>
      <c r="L158" s="389"/>
      <c r="M158" s="389"/>
      <c r="N158" s="389"/>
      <c r="O158" s="389"/>
      <c r="P158" s="390"/>
      <c r="Q158" s="159"/>
      <c r="R158" s="108"/>
      <c r="S158" s="108"/>
      <c r="T158" s="108"/>
      <c r="U158" s="108"/>
      <c r="V158" s="108"/>
    </row>
    <row r="159" spans="1:22" outlineLevel="1" x14ac:dyDescent="0.25">
      <c r="A159" s="133"/>
      <c r="B159" s="182"/>
      <c r="C159" s="244"/>
      <c r="D159" s="133"/>
      <c r="E159" s="71"/>
      <c r="F159" s="133"/>
      <c r="G159" s="389"/>
      <c r="H159" s="389"/>
      <c r="I159" s="389"/>
      <c r="J159" s="389"/>
      <c r="K159" s="389"/>
      <c r="L159" s="389"/>
      <c r="M159" s="389"/>
      <c r="N159" s="389"/>
      <c r="O159" s="389"/>
      <c r="P159" s="390"/>
      <c r="Q159" s="159"/>
      <c r="R159" s="108"/>
      <c r="S159" s="108"/>
      <c r="T159" s="108"/>
      <c r="U159" s="108"/>
      <c r="V159" s="108"/>
    </row>
    <row r="160" spans="1:22" outlineLevel="1" x14ac:dyDescent="0.25">
      <c r="A160" s="133"/>
      <c r="B160" s="182"/>
      <c r="C160" s="244"/>
      <c r="D160" s="133"/>
      <c r="E160" s="71"/>
      <c r="F160" s="133"/>
      <c r="G160" s="389"/>
      <c r="H160" s="389"/>
      <c r="I160" s="389"/>
      <c r="J160" s="389"/>
      <c r="K160" s="389"/>
      <c r="L160" s="389"/>
      <c r="M160" s="389"/>
      <c r="N160" s="389"/>
      <c r="O160" s="389"/>
      <c r="P160" s="390"/>
      <c r="Q160" s="159"/>
      <c r="R160" s="108"/>
      <c r="S160" s="108"/>
      <c r="T160" s="108"/>
      <c r="U160" s="108"/>
      <c r="V160" s="108"/>
    </row>
    <row r="161" spans="1:22" outlineLevel="1" x14ac:dyDescent="0.25">
      <c r="A161" s="133"/>
      <c r="B161" s="182"/>
      <c r="C161" s="244"/>
      <c r="D161" s="133"/>
      <c r="E161" s="71"/>
      <c r="F161" s="133"/>
      <c r="G161" s="389"/>
      <c r="H161" s="389"/>
      <c r="I161" s="389"/>
      <c r="J161" s="389"/>
      <c r="K161" s="389"/>
      <c r="L161" s="389"/>
      <c r="M161" s="389"/>
      <c r="N161" s="389"/>
      <c r="O161" s="389"/>
      <c r="P161" s="390"/>
      <c r="Q161" s="159"/>
      <c r="R161" s="108"/>
      <c r="S161" s="108"/>
      <c r="T161" s="108"/>
      <c r="U161" s="108"/>
      <c r="V161" s="108"/>
    </row>
    <row r="162" spans="1:22" outlineLevel="1" x14ac:dyDescent="0.25">
      <c r="A162" s="133"/>
      <c r="B162" s="182"/>
      <c r="C162" s="244"/>
      <c r="D162" s="133"/>
      <c r="E162" s="71"/>
      <c r="F162" s="133"/>
      <c r="G162" s="389"/>
      <c r="H162" s="389"/>
      <c r="I162" s="389"/>
      <c r="J162" s="389"/>
      <c r="K162" s="389"/>
      <c r="L162" s="389"/>
      <c r="M162" s="389"/>
      <c r="N162" s="389"/>
      <c r="O162" s="389"/>
      <c r="P162" s="390"/>
      <c r="Q162" s="159"/>
      <c r="R162" s="108"/>
      <c r="S162" s="108"/>
      <c r="T162" s="108"/>
      <c r="U162" s="108"/>
      <c r="V162" s="108"/>
    </row>
    <row r="163" spans="1:22" outlineLevel="1" x14ac:dyDescent="0.25">
      <c r="A163" s="133"/>
      <c r="B163" s="182"/>
      <c r="C163" s="244"/>
      <c r="D163" s="133"/>
      <c r="E163" s="71"/>
      <c r="F163" s="133"/>
      <c r="G163" s="389"/>
      <c r="H163" s="389"/>
      <c r="I163" s="389"/>
      <c r="J163" s="389"/>
      <c r="K163" s="389"/>
      <c r="L163" s="389"/>
      <c r="M163" s="389"/>
      <c r="N163" s="389"/>
      <c r="O163" s="389"/>
      <c r="P163" s="390"/>
      <c r="Q163" s="159"/>
      <c r="R163" s="108"/>
      <c r="S163" s="108"/>
      <c r="T163" s="108"/>
      <c r="U163" s="108"/>
      <c r="V163" s="108"/>
    </row>
    <row r="164" spans="1:22" outlineLevel="1" x14ac:dyDescent="0.25">
      <c r="A164" s="133"/>
      <c r="B164" s="182"/>
      <c r="C164" s="244"/>
      <c r="D164" s="133"/>
      <c r="E164" s="71"/>
      <c r="F164" s="133"/>
      <c r="G164" s="389"/>
      <c r="H164" s="389"/>
      <c r="I164" s="389"/>
      <c r="J164" s="389"/>
      <c r="K164" s="389"/>
      <c r="L164" s="389"/>
      <c r="M164" s="389"/>
      <c r="N164" s="389"/>
      <c r="O164" s="389"/>
      <c r="P164" s="390"/>
      <c r="Q164" s="159"/>
      <c r="R164" s="108"/>
      <c r="S164" s="108"/>
      <c r="T164" s="108"/>
      <c r="U164" s="108"/>
      <c r="V164" s="108"/>
    </row>
    <row r="165" spans="1:22" outlineLevel="1" x14ac:dyDescent="0.25">
      <c r="A165" s="133"/>
      <c r="B165" s="182"/>
      <c r="C165" s="244"/>
      <c r="D165" s="133"/>
      <c r="E165" s="71"/>
      <c r="F165" s="133"/>
      <c r="G165" s="389"/>
      <c r="H165" s="389"/>
      <c r="I165" s="389"/>
      <c r="J165" s="389"/>
      <c r="K165" s="389"/>
      <c r="L165" s="389"/>
      <c r="M165" s="389"/>
      <c r="N165" s="389"/>
      <c r="O165" s="389"/>
      <c r="P165" s="390"/>
      <c r="Q165" s="159"/>
      <c r="R165" s="108"/>
      <c r="S165" s="108"/>
      <c r="T165" s="108"/>
      <c r="U165" s="108"/>
      <c r="V165" s="108"/>
    </row>
    <row r="166" spans="1:22" outlineLevel="1" x14ac:dyDescent="0.25">
      <c r="A166" s="133"/>
      <c r="B166" s="182"/>
      <c r="C166" s="244"/>
      <c r="D166" s="133"/>
      <c r="E166" s="71"/>
      <c r="F166" s="133"/>
      <c r="G166" s="389"/>
      <c r="H166" s="389"/>
      <c r="I166" s="389"/>
      <c r="J166" s="389"/>
      <c r="K166" s="389"/>
      <c r="L166" s="389"/>
      <c r="M166" s="389"/>
      <c r="N166" s="389"/>
      <c r="O166" s="389"/>
      <c r="P166" s="390"/>
      <c r="Q166" s="159"/>
      <c r="R166" s="108"/>
      <c r="S166" s="108"/>
      <c r="T166" s="108"/>
      <c r="U166" s="108"/>
      <c r="V166" s="108"/>
    </row>
    <row r="167" spans="1:22" outlineLevel="1" x14ac:dyDescent="0.25">
      <c r="A167" s="133"/>
      <c r="B167" s="182"/>
      <c r="C167" s="244"/>
      <c r="D167" s="133"/>
      <c r="E167" s="71"/>
      <c r="F167" s="133"/>
      <c r="G167" s="389"/>
      <c r="H167" s="389"/>
      <c r="I167" s="389"/>
      <c r="J167" s="389"/>
      <c r="K167" s="389"/>
      <c r="L167" s="389"/>
      <c r="M167" s="389"/>
      <c r="N167" s="389"/>
      <c r="O167" s="389"/>
      <c r="P167" s="390"/>
      <c r="Q167" s="159"/>
      <c r="R167" s="108"/>
      <c r="S167" s="108"/>
      <c r="T167" s="108"/>
      <c r="U167" s="108"/>
      <c r="V167" s="108"/>
    </row>
    <row r="168" spans="1:22" outlineLevel="1" x14ac:dyDescent="0.25">
      <c r="A168" s="133"/>
      <c r="B168" s="182"/>
      <c r="C168" s="244"/>
      <c r="D168" s="133"/>
      <c r="E168" s="71"/>
      <c r="F168" s="133"/>
      <c r="G168" s="389"/>
      <c r="H168" s="389"/>
      <c r="I168" s="389"/>
      <c r="J168" s="389"/>
      <c r="K168" s="389"/>
      <c r="L168" s="389"/>
      <c r="M168" s="389"/>
      <c r="N168" s="389"/>
      <c r="O168" s="389"/>
      <c r="P168" s="390"/>
      <c r="Q168" s="159"/>
      <c r="R168" s="108"/>
      <c r="S168" s="108"/>
      <c r="T168" s="108"/>
      <c r="U168" s="108"/>
      <c r="V168" s="108"/>
    </row>
    <row r="169" spans="1:22" outlineLevel="1" x14ac:dyDescent="0.25">
      <c r="A169" s="133"/>
      <c r="B169" s="182"/>
      <c r="C169" s="244"/>
      <c r="D169" s="133"/>
      <c r="E169" s="71"/>
      <c r="F169" s="133"/>
      <c r="G169" s="389"/>
      <c r="H169" s="389"/>
      <c r="I169" s="389"/>
      <c r="J169" s="389"/>
      <c r="K169" s="389"/>
      <c r="L169" s="389"/>
      <c r="M169" s="389"/>
      <c r="N169" s="389"/>
      <c r="O169" s="389"/>
      <c r="P169" s="390"/>
      <c r="Q169" s="159"/>
      <c r="R169" s="108"/>
      <c r="S169" s="108"/>
      <c r="T169" s="108"/>
      <c r="U169" s="108"/>
      <c r="V169" s="108"/>
    </row>
    <row r="170" spans="1:22" ht="15.75" thickBot="1" x14ac:dyDescent="0.3">
      <c r="A170" s="132"/>
      <c r="B170" s="179"/>
      <c r="C170" s="192"/>
      <c r="D170" s="132"/>
      <c r="E170" s="71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71"/>
      <c r="Q170" s="159"/>
      <c r="R170" s="108"/>
      <c r="S170" s="108"/>
      <c r="T170" s="108"/>
      <c r="U170" s="108"/>
      <c r="V170" s="108"/>
    </row>
    <row r="172" spans="1:22" x14ac:dyDescent="0.25">
      <c r="A172" s="71"/>
      <c r="B172" s="401"/>
      <c r="C172" s="189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</row>
    <row r="173" spans="1:22" x14ac:dyDescent="0.25">
      <c r="A173" s="71"/>
      <c r="B173" s="174" t="str" cm="1">
        <f t="array" aca="1" ref="B173" ca="1">HYPERLINK(CELL("адрес",БДР!$A$1),"Перейти на лист БДР")</f>
        <v>Перейти на лист БДР</v>
      </c>
      <c r="C173" s="189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</row>
    <row r="174" spans="1:22" x14ac:dyDescent="0.25">
      <c r="A174" s="71"/>
      <c r="B174" s="174" t="str" cm="1">
        <f t="array" aca="1" ref="B174" ca="1">HYPERLINK(CELL("адрес",БДДС!$A$1),"Перейти на лист БДДС")</f>
        <v>Перейти на лист БДДС</v>
      </c>
      <c r="C174" s="189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</row>
    <row r="175" spans="1:22" x14ac:dyDescent="0.25">
      <c r="A175" s="71"/>
      <c r="B175" s="174" t="str" cm="1">
        <f t="array" aca="1" ref="B175" ca="1">HYPERLINK(CELL("адрес",Баланс!$A$1),"Перейти на лист Баланс")</f>
        <v>Перейти на лист Баланс</v>
      </c>
      <c r="C175" s="189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</row>
    <row r="176" spans="1:22" x14ac:dyDescent="0.25">
      <c r="A176" s="71"/>
      <c r="B176" s="401" t="str" cm="1">
        <f t="array" aca="1" ref="B176" ca="1">HYPERLINK(CELL("адрес",Дашборд_ИтогТабл!$A$1),"Перейти на лист Дашборд_1")</f>
        <v>Перейти на лист Дашборд_1</v>
      </c>
      <c r="C176" s="189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</row>
    <row r="177" spans="2:2" x14ac:dyDescent="0.25">
      <c r="B177" s="401" t="str" cm="1">
        <f t="array" aca="1" ref="B177" ca="1">HYPERLINK(CELL("адрес",Дашборд_Основной!$A$1),"Перейти на лист Дашборд_Общий")</f>
        <v>Перейти на лист Дашборд_Общий</v>
      </c>
    </row>
    <row r="178" spans="2:2" x14ac:dyDescent="0.25">
      <c r="B178" s="401" t="str" cm="1">
        <f t="array" aca="1" ref="B178" ca="1">HYPERLINK(CELL("адрес",Дашборд_налоги!$A$1),"Перейти на лист Дашборд_Налоги")</f>
        <v>Перейти на лист Дашборд_Налоги</v>
      </c>
    </row>
  </sheetData>
  <hyperlinks>
    <hyperlink ref="H1" location="Контроль!A1" display="Контроль!A1" xr:uid="{3F2A62C5-2260-4846-9DBA-C37BE1D8E61C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8890-9972-46BA-BB89-CFC38BEFB442}">
  <sheetPr codeName="Лист14">
    <tabColor theme="9" tint="0.59999389629810485"/>
    <outlinePr summaryBelow="0" summaryRight="0"/>
    <pageSetUpPr fitToPage="1"/>
  </sheetPr>
  <dimension ref="A1:BZ74"/>
  <sheetViews>
    <sheetView zoomScale="115" zoomScaleNormal="115" workbookViewId="0">
      <pane xSplit="4" ySplit="3" topLeftCell="E4" activePane="bottomRight" state="frozen"/>
      <selection activeCell="L14" sqref="L14"/>
      <selection pane="topRight" activeCell="L14" sqref="L14"/>
      <selection pane="bottomLeft" activeCell="L14" sqref="L14"/>
      <selection pane="bottomRight" activeCell="B9" sqref="B9"/>
    </sheetView>
  </sheetViews>
  <sheetFormatPr defaultColWidth="0" defaultRowHeight="15" outlineLevelCol="1" x14ac:dyDescent="0.25"/>
  <cols>
    <col min="1" max="1" width="10.42578125" customWidth="1"/>
    <col min="2" max="2" width="29.8554687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8" width="0" hidden="1" customWidth="1"/>
    <col min="79" max="16384" width="8.85546875" hidden="1"/>
  </cols>
  <sheetData>
    <row r="1" spans="1:33" ht="25.5" x14ac:dyDescent="0.25">
      <c r="A1" s="690" t="s">
        <v>78</v>
      </c>
      <c r="B1" s="167"/>
      <c r="C1" s="71"/>
      <c r="D1" s="71"/>
      <c r="E1" s="71"/>
      <c r="F1" s="71"/>
      <c r="G1" s="71"/>
      <c r="H1" s="71"/>
      <c r="I1" s="71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158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573"/>
      <c r="AF1" s="71"/>
      <c r="AG1" s="71"/>
    </row>
    <row r="2" spans="1:33" x14ac:dyDescent="0.25">
      <c r="A2" s="71" t="str">
        <f>Паспорт_ФМ_резидент!B7</f>
        <v>Название инвест. проект 01</v>
      </c>
      <c r="B2" s="167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9"/>
      <c r="T2" s="162">
        <v>11</v>
      </c>
      <c r="U2" s="162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  <c r="AF2" s="71"/>
      <c r="AG2" s="71"/>
    </row>
    <row r="3" spans="1:33" s="18" customFormat="1" ht="42.75" x14ac:dyDescent="0.25">
      <c r="A3" s="127" t="s">
        <v>2</v>
      </c>
      <c r="B3" s="236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5"/>
      <c r="Q3" s="127" t="s">
        <v>106</v>
      </c>
      <c r="R3" s="155"/>
      <c r="S3" s="160"/>
      <c r="T3" s="163">
        <v>2035</v>
      </c>
      <c r="U3" s="163">
        <f>T3+1</f>
        <v>2036</v>
      </c>
      <c r="V3" s="163">
        <f>U3+1</f>
        <v>2037</v>
      </c>
      <c r="W3" s="163">
        <f t="shared" si="0"/>
        <v>2038</v>
      </c>
      <c r="X3" s="163">
        <f t="shared" si="0"/>
        <v>2039</v>
      </c>
      <c r="Y3" s="163">
        <f t="shared" si="0"/>
        <v>2040</v>
      </c>
      <c r="Z3" s="163">
        <f t="shared" si="0"/>
        <v>2041</v>
      </c>
      <c r="AA3" s="163">
        <f t="shared" si="0"/>
        <v>2042</v>
      </c>
      <c r="AB3" s="163">
        <f t="shared" si="0"/>
        <v>2043</v>
      </c>
      <c r="AC3" s="163">
        <f t="shared" si="0"/>
        <v>2044</v>
      </c>
      <c r="AD3" s="155"/>
      <c r="AE3" s="236" t="s">
        <v>202</v>
      </c>
      <c r="AF3" s="155"/>
      <c r="AG3" s="155"/>
    </row>
    <row r="4" spans="1:33" ht="7.15" customHeight="1" x14ac:dyDescent="0.25">
      <c r="A4" s="149"/>
      <c r="B4" s="178"/>
      <c r="C4" s="149"/>
      <c r="D4" s="149"/>
      <c r="E4" s="7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71"/>
      <c r="Q4" s="149"/>
      <c r="R4" s="71"/>
      <c r="S4" s="159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9"/>
      <c r="AF4" s="71"/>
      <c r="AG4" s="71"/>
    </row>
    <row r="5" spans="1:33" s="13" customFormat="1" ht="21.4" customHeight="1" x14ac:dyDescent="0.25">
      <c r="A5" s="836" t="s">
        <v>160</v>
      </c>
      <c r="B5" s="837"/>
      <c r="C5" s="838"/>
      <c r="D5" s="129"/>
      <c r="E5" s="123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3"/>
      <c r="Q5" s="129"/>
      <c r="R5" s="123"/>
      <c r="S5" s="159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129"/>
      <c r="AF5" s="123"/>
      <c r="AG5" s="123"/>
    </row>
    <row r="6" spans="1:33" x14ac:dyDescent="0.25">
      <c r="A6" s="149"/>
      <c r="B6" s="178"/>
      <c r="C6" s="454"/>
      <c r="D6" s="149"/>
      <c r="E6" s="71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71"/>
      <c r="Q6" s="149"/>
      <c r="R6" s="71"/>
      <c r="S6" s="159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9"/>
      <c r="AF6" s="71"/>
      <c r="AG6" s="71"/>
    </row>
    <row r="7" spans="1:33" ht="57.75" x14ac:dyDescent="0.25">
      <c r="A7" s="149"/>
      <c r="B7" s="577" t="s">
        <v>488</v>
      </c>
      <c r="C7" s="243" t="s">
        <v>19</v>
      </c>
      <c r="D7" s="228">
        <f>SUM(D8:D10)</f>
        <v>30000</v>
      </c>
      <c r="E7" s="71"/>
      <c r="F7" s="228">
        <f>SUM(F8:F10)</f>
        <v>30000</v>
      </c>
      <c r="G7" s="228">
        <f t="shared" ref="G7:O7" si="2">SUM(G8:G10)</f>
        <v>0</v>
      </c>
      <c r="H7" s="228">
        <f t="shared" si="2"/>
        <v>0</v>
      </c>
      <c r="I7" s="228">
        <f t="shared" si="2"/>
        <v>0</v>
      </c>
      <c r="J7" s="228">
        <f t="shared" si="2"/>
        <v>0</v>
      </c>
      <c r="K7" s="228">
        <f t="shared" si="2"/>
        <v>0</v>
      </c>
      <c r="L7" s="228">
        <f t="shared" si="2"/>
        <v>0</v>
      </c>
      <c r="M7" s="228">
        <f t="shared" si="2"/>
        <v>0</v>
      </c>
      <c r="N7" s="228">
        <f t="shared" si="2"/>
        <v>0</v>
      </c>
      <c r="O7" s="228">
        <f t="shared" si="2"/>
        <v>0</v>
      </c>
      <c r="P7" s="71"/>
      <c r="Q7" s="149"/>
      <c r="R7" s="71"/>
      <c r="S7" s="159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49"/>
      <c r="AF7" s="390"/>
      <c r="AG7" s="574"/>
    </row>
    <row r="8" spans="1:33" x14ac:dyDescent="0.25">
      <c r="A8" s="149"/>
      <c r="B8" s="178" t="s">
        <v>240</v>
      </c>
      <c r="C8" s="243" t="s">
        <v>19</v>
      </c>
      <c r="D8" s="246">
        <f>SUM(F8:O8)</f>
        <v>10000</v>
      </c>
      <c r="E8" s="71"/>
      <c r="F8" s="143">
        <v>10000</v>
      </c>
      <c r="G8" s="143"/>
      <c r="H8" s="143"/>
      <c r="I8" s="143"/>
      <c r="J8" s="143"/>
      <c r="K8" s="143"/>
      <c r="L8" s="143"/>
      <c r="M8" s="143"/>
      <c r="N8" s="143"/>
      <c r="O8" s="143"/>
      <c r="P8" s="71"/>
      <c r="Q8" s="149"/>
      <c r="R8" s="71"/>
      <c r="S8" s="15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149"/>
      <c r="AF8" s="71"/>
      <c r="AG8" s="71"/>
    </row>
    <row r="9" spans="1:33" x14ac:dyDescent="0.25">
      <c r="A9" s="149"/>
      <c r="B9" s="178" t="s">
        <v>241</v>
      </c>
      <c r="C9" s="243" t="s">
        <v>19</v>
      </c>
      <c r="D9" s="246">
        <f>SUM(F9:O9)</f>
        <v>10000</v>
      </c>
      <c r="E9" s="71"/>
      <c r="F9" s="143">
        <v>10000</v>
      </c>
      <c r="G9" s="143"/>
      <c r="H9" s="143"/>
      <c r="I9" s="143"/>
      <c r="J9" s="143"/>
      <c r="K9" s="143"/>
      <c r="L9" s="143"/>
      <c r="M9" s="143"/>
      <c r="N9" s="143"/>
      <c r="O9" s="143"/>
      <c r="P9" s="71"/>
      <c r="Q9" s="149"/>
      <c r="R9" s="71"/>
      <c r="S9" s="15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149"/>
      <c r="AF9" s="71"/>
      <c r="AG9" s="71"/>
    </row>
    <row r="10" spans="1:33" x14ac:dyDescent="0.25">
      <c r="A10" s="149"/>
      <c r="B10" s="178" t="s">
        <v>242</v>
      </c>
      <c r="C10" s="243" t="s">
        <v>19</v>
      </c>
      <c r="D10" s="246">
        <f>SUM(F10:O10)</f>
        <v>10000</v>
      </c>
      <c r="E10" s="71"/>
      <c r="F10" s="143">
        <v>10000</v>
      </c>
      <c r="G10" s="143"/>
      <c r="H10" s="143"/>
      <c r="I10" s="143"/>
      <c r="J10" s="143"/>
      <c r="K10" s="143"/>
      <c r="L10" s="143"/>
      <c r="M10" s="143"/>
      <c r="N10" s="143"/>
      <c r="O10" s="143"/>
      <c r="P10" s="71"/>
      <c r="Q10" s="149"/>
      <c r="R10" s="71"/>
      <c r="S10" s="15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9"/>
      <c r="AF10" s="71"/>
      <c r="AG10" s="71"/>
    </row>
    <row r="11" spans="1:33" x14ac:dyDescent="0.25">
      <c r="A11" s="149"/>
      <c r="B11" s="178"/>
      <c r="C11" s="454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49"/>
      <c r="R11" s="71"/>
      <c r="S11" s="15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9"/>
      <c r="AF11" s="71"/>
      <c r="AG11" s="71"/>
    </row>
    <row r="12" spans="1:33" ht="26.25" x14ac:dyDescent="0.25">
      <c r="A12" s="149"/>
      <c r="B12" s="578" t="s">
        <v>243</v>
      </c>
      <c r="C12" s="243" t="s">
        <v>19</v>
      </c>
      <c r="D12" s="149"/>
      <c r="E12" s="71"/>
      <c r="F12" s="570">
        <f>F7</f>
        <v>30000</v>
      </c>
      <c r="G12" s="570">
        <f>F12+G7</f>
        <v>30000</v>
      </c>
      <c r="H12" s="570">
        <f t="shared" ref="H12:O12" si="3">G12+H7</f>
        <v>30000</v>
      </c>
      <c r="I12" s="570">
        <f t="shared" si="3"/>
        <v>30000</v>
      </c>
      <c r="J12" s="570">
        <f t="shared" si="3"/>
        <v>30000</v>
      </c>
      <c r="K12" s="570">
        <f t="shared" si="3"/>
        <v>30000</v>
      </c>
      <c r="L12" s="570">
        <f t="shared" si="3"/>
        <v>30000</v>
      </c>
      <c r="M12" s="570">
        <f t="shared" si="3"/>
        <v>30000</v>
      </c>
      <c r="N12" s="570">
        <f t="shared" si="3"/>
        <v>30000</v>
      </c>
      <c r="O12" s="570">
        <f t="shared" si="3"/>
        <v>30000</v>
      </c>
      <c r="P12" s="71"/>
      <c r="Q12" s="149"/>
      <c r="R12" s="71"/>
      <c r="S12" s="159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9"/>
      <c r="AF12" s="71"/>
      <c r="AG12" s="71"/>
    </row>
    <row r="13" spans="1:33" x14ac:dyDescent="0.25">
      <c r="A13" s="149"/>
      <c r="B13" s="178"/>
      <c r="C13" s="454"/>
      <c r="D13" s="149"/>
      <c r="E13" s="71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71"/>
      <c r="Q13" s="149"/>
      <c r="R13" s="71"/>
      <c r="S13" s="159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149"/>
      <c r="AF13" s="71"/>
      <c r="AG13" s="71"/>
    </row>
    <row r="14" spans="1:33" ht="15.75" thickBot="1" x14ac:dyDescent="0.3">
      <c r="A14" s="132"/>
      <c r="B14" s="179"/>
      <c r="C14" s="192"/>
      <c r="D14" s="132"/>
      <c r="E14" s="71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71"/>
      <c r="Q14" s="132"/>
      <c r="R14" s="71"/>
      <c r="S14" s="159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32"/>
      <c r="AF14" s="71"/>
      <c r="AG14" s="71"/>
    </row>
    <row r="15" spans="1:33" ht="7.15" customHeight="1" x14ac:dyDescent="0.25">
      <c r="A15" s="149"/>
      <c r="B15" s="178"/>
      <c r="C15" s="149"/>
      <c r="D15" s="149"/>
      <c r="E15" s="71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71"/>
      <c r="Q15" s="149"/>
      <c r="R15" s="71"/>
      <c r="S15" s="15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149"/>
      <c r="AF15" s="71"/>
      <c r="AG15" s="71"/>
    </row>
    <row r="16" spans="1:33" ht="15.75" x14ac:dyDescent="0.25">
      <c r="A16" s="836" t="s">
        <v>232</v>
      </c>
      <c r="B16" s="837"/>
      <c r="C16" s="838"/>
      <c r="D16" s="129"/>
      <c r="E16" s="123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71"/>
      <c r="Q16" s="149"/>
      <c r="R16" s="71"/>
      <c r="S16" s="15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9"/>
      <c r="AF16" s="71"/>
      <c r="AG16" s="71"/>
    </row>
    <row r="17" spans="1:33" x14ac:dyDescent="0.25">
      <c r="A17" s="575" t="str" cm="1">
        <f t="array" aca="1" ref="A17" ca="1">HYPERLINK(CELL("адрес",БДДС!A58),"источник")</f>
        <v>источник</v>
      </c>
      <c r="B17" s="571" t="s">
        <v>168</v>
      </c>
      <c r="C17" s="243"/>
      <c r="D17" s="149"/>
      <c r="E17" s="71"/>
      <c r="F17" s="571">
        <f ca="1">БДДС!F58</f>
        <v>3577.8642666666638</v>
      </c>
      <c r="G17" s="571">
        <f ca="1">БДДС!G58</f>
        <v>27970.645542399987</v>
      </c>
      <c r="H17" s="571">
        <f ca="1">БДДС!H58</f>
        <v>1816.1782407605788</v>
      </c>
      <c r="I17" s="571">
        <f ca="1">БДДС!I58</f>
        <v>40923.739838944806</v>
      </c>
      <c r="J17" s="571">
        <f ca="1">БДДС!J58</f>
        <v>84329.494879429025</v>
      </c>
      <c r="K17" s="571">
        <f ca="1">БДДС!K58</f>
        <v>132092.33306645125</v>
      </c>
      <c r="L17" s="571">
        <f ca="1">БДДС!L58</f>
        <v>184467.71100819414</v>
      </c>
      <c r="M17" s="571">
        <f ca="1">БДДС!M58</f>
        <v>241673.29237955395</v>
      </c>
      <c r="N17" s="571">
        <f ca="1">БДДС!N58</f>
        <v>300269.86374829285</v>
      </c>
      <c r="O17" s="571">
        <f ca="1">БДДС!O58</f>
        <v>363745.67162973888</v>
      </c>
      <c r="P17" s="71"/>
      <c r="Q17" s="149"/>
      <c r="R17" s="71"/>
      <c r="S17" s="15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49"/>
      <c r="AF17" s="71"/>
      <c r="AG17" s="71"/>
    </row>
    <row r="18" spans="1:33" x14ac:dyDescent="0.25">
      <c r="A18" s="149"/>
      <c r="B18" s="178"/>
      <c r="C18" s="243"/>
      <c r="D18" s="149"/>
      <c r="E18" s="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71"/>
      <c r="Q18" s="149"/>
      <c r="R18" s="71"/>
      <c r="S18" s="159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9"/>
      <c r="AF18" s="71"/>
      <c r="AG18" s="71"/>
    </row>
    <row r="19" spans="1:33" ht="29.25" x14ac:dyDescent="0.25">
      <c r="A19" s="149"/>
      <c r="B19" s="577" t="s">
        <v>170</v>
      </c>
      <c r="C19" s="243"/>
      <c r="D19" s="149"/>
      <c r="E19" s="71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71"/>
      <c r="Q19" s="149"/>
      <c r="R19" s="71"/>
      <c r="S19" s="159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9"/>
      <c r="AF19" s="71"/>
      <c r="AG19" s="71"/>
    </row>
    <row r="20" spans="1:33" x14ac:dyDescent="0.25">
      <c r="A20" s="149"/>
      <c r="B20" s="178"/>
      <c r="C20" s="191"/>
      <c r="D20" s="137"/>
      <c r="E20" s="71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71"/>
      <c r="Q20" s="149"/>
      <c r="R20" s="71"/>
      <c r="S20" s="15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9"/>
      <c r="AF20" s="71"/>
      <c r="AG20" s="71"/>
    </row>
    <row r="21" spans="1:33" ht="30" x14ac:dyDescent="0.25">
      <c r="A21" s="149"/>
      <c r="B21" s="178" t="s">
        <v>161</v>
      </c>
      <c r="C21" s="243" t="s">
        <v>19</v>
      </c>
      <c r="D21" s="546" t="s">
        <v>134</v>
      </c>
      <c r="E21" s="71"/>
      <c r="F21" s="553">
        <f ca="1">SUMIF($B$30:$B$100,$B$21,F$30:F$100)</f>
        <v>0</v>
      </c>
      <c r="G21" s="553">
        <f t="shared" ref="G21:O21" ca="1" si="4">F24</f>
        <v>0</v>
      </c>
      <c r="H21" s="553">
        <f t="shared" ca="1" si="4"/>
        <v>95000</v>
      </c>
      <c r="I21" s="553">
        <f t="shared" ca="1" si="4"/>
        <v>83125</v>
      </c>
      <c r="J21" s="553">
        <f t="shared" ca="1" si="4"/>
        <v>71250</v>
      </c>
      <c r="K21" s="553">
        <f t="shared" ca="1" si="4"/>
        <v>59375</v>
      </c>
      <c r="L21" s="553">
        <f t="shared" ca="1" si="4"/>
        <v>47500</v>
      </c>
      <c r="M21" s="553">
        <f t="shared" ca="1" si="4"/>
        <v>35625</v>
      </c>
      <c r="N21" s="553">
        <f t="shared" ca="1" si="4"/>
        <v>23750</v>
      </c>
      <c r="O21" s="553">
        <f t="shared" ca="1" si="4"/>
        <v>11875</v>
      </c>
      <c r="P21" s="71"/>
      <c r="Q21" s="149"/>
      <c r="R21" s="71"/>
      <c r="S21" s="159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49"/>
      <c r="AF21" s="71"/>
      <c r="AG21" s="71"/>
    </row>
    <row r="22" spans="1:33" x14ac:dyDescent="0.25">
      <c r="A22" s="149"/>
      <c r="B22" s="178" t="s">
        <v>162</v>
      </c>
      <c r="C22" s="243" t="s">
        <v>19</v>
      </c>
      <c r="D22" s="246">
        <f ca="1">SUM(F22:O22)</f>
        <v>95000</v>
      </c>
      <c r="E22" s="71"/>
      <c r="F22" s="553">
        <f ca="1">SUMIF($B$30:$B$100,$B$22,F$30:F$100)</f>
        <v>0</v>
      </c>
      <c r="G22" s="553">
        <f t="shared" ref="G22:O22" ca="1" si="5">SUMIF($B$30:$B$100,$B$22,G$30:G$100)</f>
        <v>95000</v>
      </c>
      <c r="H22" s="553">
        <f t="shared" ca="1" si="5"/>
        <v>0</v>
      </c>
      <c r="I22" s="553">
        <f t="shared" ca="1" si="5"/>
        <v>0</v>
      </c>
      <c r="J22" s="553">
        <f t="shared" ca="1" si="5"/>
        <v>0</v>
      </c>
      <c r="K22" s="553">
        <f t="shared" ca="1" si="5"/>
        <v>0</v>
      </c>
      <c r="L22" s="553">
        <f t="shared" ca="1" si="5"/>
        <v>0</v>
      </c>
      <c r="M22" s="553">
        <f t="shared" ca="1" si="5"/>
        <v>0</v>
      </c>
      <c r="N22" s="553">
        <f t="shared" ca="1" si="5"/>
        <v>0</v>
      </c>
      <c r="O22" s="553">
        <f t="shared" ca="1" si="5"/>
        <v>0</v>
      </c>
      <c r="P22" s="71"/>
      <c r="Q22" s="149"/>
      <c r="R22" s="71"/>
      <c r="S22" s="159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49"/>
      <c r="AF22" s="390"/>
      <c r="AG22" s="574"/>
    </row>
    <row r="23" spans="1:33" x14ac:dyDescent="0.25">
      <c r="A23" s="149"/>
      <c r="B23" s="178" t="s">
        <v>163</v>
      </c>
      <c r="C23" s="243" t="s">
        <v>19</v>
      </c>
      <c r="D23" s="246">
        <f ca="1">SUM(F23:O23)</f>
        <v>95000</v>
      </c>
      <c r="E23" s="71"/>
      <c r="F23" s="553">
        <f ca="1">SUMIF($B$28:$B$100,$B$23,F$28:F$100)</f>
        <v>0</v>
      </c>
      <c r="G23" s="553">
        <f t="shared" ref="G23:O23" ca="1" si="6">SUMIF($B$28:$B$100,$B$23,G$28:G$100)</f>
        <v>0</v>
      </c>
      <c r="H23" s="553">
        <f t="shared" ca="1" si="6"/>
        <v>11875</v>
      </c>
      <c r="I23" s="553">
        <f t="shared" ca="1" si="6"/>
        <v>11875</v>
      </c>
      <c r="J23" s="553">
        <f t="shared" ca="1" si="6"/>
        <v>11875</v>
      </c>
      <c r="K23" s="553">
        <f t="shared" ca="1" si="6"/>
        <v>11875</v>
      </c>
      <c r="L23" s="553">
        <f t="shared" ca="1" si="6"/>
        <v>11875</v>
      </c>
      <c r="M23" s="553">
        <f t="shared" ca="1" si="6"/>
        <v>11875</v>
      </c>
      <c r="N23" s="553">
        <f t="shared" ca="1" si="6"/>
        <v>11875</v>
      </c>
      <c r="O23" s="553">
        <f t="shared" ca="1" si="6"/>
        <v>11875</v>
      </c>
      <c r="P23" s="71"/>
      <c r="Q23" s="149"/>
      <c r="R23" s="71"/>
      <c r="S23" s="159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9"/>
      <c r="AF23" s="71"/>
      <c r="AG23" s="71"/>
    </row>
    <row r="24" spans="1:33" ht="30" x14ac:dyDescent="0.25">
      <c r="A24" s="149"/>
      <c r="B24" s="178" t="s">
        <v>164</v>
      </c>
      <c r="C24" s="243" t="s">
        <v>19</v>
      </c>
      <c r="D24" s="546" t="s">
        <v>134</v>
      </c>
      <c r="E24" s="71"/>
      <c r="F24" s="553">
        <f t="shared" ref="F24:O24" ca="1" si="7">F21+F22-F23</f>
        <v>0</v>
      </c>
      <c r="G24" s="553">
        <f t="shared" ca="1" si="7"/>
        <v>95000</v>
      </c>
      <c r="H24" s="553">
        <f t="shared" ca="1" si="7"/>
        <v>83125</v>
      </c>
      <c r="I24" s="553">
        <f t="shared" ca="1" si="7"/>
        <v>71250</v>
      </c>
      <c r="J24" s="553">
        <f t="shared" ca="1" si="7"/>
        <v>59375</v>
      </c>
      <c r="K24" s="553">
        <f t="shared" ca="1" si="7"/>
        <v>47500</v>
      </c>
      <c r="L24" s="553">
        <f t="shared" ca="1" si="7"/>
        <v>35625</v>
      </c>
      <c r="M24" s="553">
        <f t="shared" ca="1" si="7"/>
        <v>23750</v>
      </c>
      <c r="N24" s="553">
        <f t="shared" ca="1" si="7"/>
        <v>11875</v>
      </c>
      <c r="O24" s="553">
        <f t="shared" ca="1" si="7"/>
        <v>0</v>
      </c>
      <c r="P24" s="71"/>
      <c r="Q24" s="149"/>
      <c r="R24" s="71"/>
      <c r="S24" s="159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9"/>
      <c r="AF24" s="71"/>
      <c r="AG24" s="71"/>
    </row>
    <row r="25" spans="1:33" x14ac:dyDescent="0.25">
      <c r="A25" s="149"/>
      <c r="B25" s="178" t="s">
        <v>165</v>
      </c>
      <c r="C25" s="243" t="s">
        <v>19</v>
      </c>
      <c r="D25" s="246">
        <f ca="1">SUM(F25:O25)</f>
        <v>51300</v>
      </c>
      <c r="E25" s="71"/>
      <c r="F25" s="553">
        <f ca="1">SUMIF($B$30:$B$100,$B$25,F$30:F$100)</f>
        <v>0</v>
      </c>
      <c r="G25" s="553">
        <f t="shared" ref="G25:O25" ca="1" si="8">SUMIF($B$30:$B$100,$B$25,G$30:G$100)</f>
        <v>5700</v>
      </c>
      <c r="H25" s="553">
        <f t="shared" ca="1" si="8"/>
        <v>10687.5</v>
      </c>
      <c r="I25" s="553">
        <f t="shared" ca="1" si="8"/>
        <v>9262.5</v>
      </c>
      <c r="J25" s="553">
        <f t="shared" ca="1" si="8"/>
        <v>7837.5</v>
      </c>
      <c r="K25" s="553">
        <f t="shared" ca="1" si="8"/>
        <v>6412.5</v>
      </c>
      <c r="L25" s="553">
        <f t="shared" ca="1" si="8"/>
        <v>4987.5</v>
      </c>
      <c r="M25" s="553">
        <f t="shared" ca="1" si="8"/>
        <v>3562.5</v>
      </c>
      <c r="N25" s="553">
        <f t="shared" ca="1" si="8"/>
        <v>2137.5</v>
      </c>
      <c r="O25" s="553">
        <f t="shared" ca="1" si="8"/>
        <v>712.5</v>
      </c>
      <c r="P25" s="71"/>
      <c r="Q25" s="149"/>
      <c r="R25" s="71"/>
      <c r="S25" s="159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9"/>
      <c r="AF25" s="71"/>
      <c r="AG25" s="71"/>
    </row>
    <row r="26" spans="1:33" x14ac:dyDescent="0.25">
      <c r="A26" s="149"/>
      <c r="B26" s="178" t="s">
        <v>166</v>
      </c>
      <c r="C26" s="243" t="s">
        <v>19</v>
      </c>
      <c r="D26" s="246">
        <f ca="1">SUM(F26:O26)</f>
        <v>51300</v>
      </c>
      <c r="E26" s="71"/>
      <c r="F26" s="553">
        <f ca="1">SUMIF($B$30:$B$100,$B$26,F$30:F$100)</f>
        <v>0</v>
      </c>
      <c r="G26" s="553">
        <f t="shared" ref="G26:O26" ca="1" si="9">SUMIF($B$30:$B$100,$B$26,G$30:G$100)</f>
        <v>5700</v>
      </c>
      <c r="H26" s="553">
        <f t="shared" ca="1" si="9"/>
        <v>10687.5</v>
      </c>
      <c r="I26" s="553">
        <f t="shared" ca="1" si="9"/>
        <v>9262.5</v>
      </c>
      <c r="J26" s="553">
        <f t="shared" ca="1" si="9"/>
        <v>7837.5</v>
      </c>
      <c r="K26" s="553">
        <f t="shared" ca="1" si="9"/>
        <v>6412.5</v>
      </c>
      <c r="L26" s="553">
        <f t="shared" ca="1" si="9"/>
        <v>4987.5</v>
      </c>
      <c r="M26" s="553">
        <f t="shared" ca="1" si="9"/>
        <v>3562.5</v>
      </c>
      <c r="N26" s="553">
        <f t="shared" ca="1" si="9"/>
        <v>2137.5</v>
      </c>
      <c r="O26" s="553">
        <f t="shared" ca="1" si="9"/>
        <v>712.5</v>
      </c>
      <c r="P26" s="71"/>
      <c r="Q26" s="149"/>
      <c r="R26" s="71"/>
      <c r="S26" s="15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149"/>
      <c r="AF26" s="71"/>
      <c r="AG26" s="71"/>
    </row>
    <row r="27" spans="1:33" x14ac:dyDescent="0.25">
      <c r="A27" s="149"/>
      <c r="B27" s="178"/>
      <c r="C27" s="243"/>
      <c r="D27" s="149"/>
      <c r="E27" s="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71"/>
      <c r="Q27" s="149"/>
      <c r="R27" s="71"/>
      <c r="S27" s="159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149"/>
      <c r="AF27" s="390"/>
      <c r="AG27" s="165"/>
    </row>
    <row r="28" spans="1:33" x14ac:dyDescent="0.25">
      <c r="A28" s="576" t="s">
        <v>777</v>
      </c>
      <c r="B28" s="178"/>
      <c r="C28" s="243"/>
      <c r="D28" s="149"/>
      <c r="E28" s="71"/>
      <c r="F28" s="571"/>
      <c r="G28" s="571"/>
      <c r="H28" s="571"/>
      <c r="I28" s="571"/>
      <c r="J28" s="571"/>
      <c r="K28" s="571"/>
      <c r="L28" s="571"/>
      <c r="M28" s="571"/>
      <c r="N28" s="571"/>
      <c r="O28" s="571"/>
      <c r="P28" s="71"/>
      <c r="Q28" s="149"/>
      <c r="R28" s="71"/>
      <c r="S28" s="159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49"/>
      <c r="AF28" s="71"/>
      <c r="AG28" s="71"/>
    </row>
    <row r="29" spans="1:33" x14ac:dyDescent="0.25">
      <c r="A29" s="149"/>
      <c r="B29" s="558" t="s">
        <v>167</v>
      </c>
      <c r="C29" s="243"/>
      <c r="D29" s="149"/>
      <c r="E29" s="71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71"/>
      <c r="Q29" s="149"/>
      <c r="R29" s="71"/>
      <c r="S29" s="15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49"/>
      <c r="AF29" s="71"/>
      <c r="AG29" s="71"/>
    </row>
    <row r="30" spans="1:33" x14ac:dyDescent="0.25">
      <c r="A30" s="393" t="str" cm="1">
        <f t="array" aca="1" ref="A30" ca="1">HYPERLINK(CELL("адрес",Макро!A19),"источник")</f>
        <v>источник</v>
      </c>
      <c r="B30" s="178" t="s">
        <v>452</v>
      </c>
      <c r="C30" s="191" t="s">
        <v>27</v>
      </c>
      <c r="D30" s="137"/>
      <c r="E30" s="71"/>
      <c r="F30" s="278">
        <f>Макро!F19</f>
        <v>0.12</v>
      </c>
      <c r="G30" s="278">
        <f>Макро!G19</f>
        <v>0.12</v>
      </c>
      <c r="H30" s="278">
        <f>Макро!H19</f>
        <v>0.12</v>
      </c>
      <c r="I30" s="278">
        <f>Макро!I19</f>
        <v>0.12</v>
      </c>
      <c r="J30" s="278">
        <f>Макро!J19</f>
        <v>0.12</v>
      </c>
      <c r="K30" s="278">
        <f>Макро!K19</f>
        <v>0.12</v>
      </c>
      <c r="L30" s="278">
        <f>Макро!L19</f>
        <v>0.12</v>
      </c>
      <c r="M30" s="278">
        <f>Макро!M19</f>
        <v>0.12</v>
      </c>
      <c r="N30" s="278">
        <f>Макро!N19</f>
        <v>0.12</v>
      </c>
      <c r="O30" s="278">
        <f>Макро!O19</f>
        <v>0.12</v>
      </c>
      <c r="P30" s="71"/>
      <c r="Q30" s="149"/>
      <c r="R30" s="71"/>
      <c r="S30" s="159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49"/>
      <c r="AF30" s="71"/>
      <c r="AG30" s="71"/>
    </row>
    <row r="31" spans="1:33" ht="30" x14ac:dyDescent="0.25">
      <c r="A31" s="149"/>
      <c r="B31" s="178" t="s">
        <v>161</v>
      </c>
      <c r="C31" s="243" t="s">
        <v>19</v>
      </c>
      <c r="D31" s="546" t="s">
        <v>134</v>
      </c>
      <c r="E31" s="71"/>
      <c r="F31" s="143">
        <v>0</v>
      </c>
      <c r="G31" s="231">
        <f t="shared" ref="G31:O31" si="10">F34</f>
        <v>0</v>
      </c>
      <c r="H31" s="231">
        <f t="shared" si="10"/>
        <v>95000</v>
      </c>
      <c r="I31" s="231">
        <f t="shared" si="10"/>
        <v>83125</v>
      </c>
      <c r="J31" s="231">
        <f t="shared" si="10"/>
        <v>71250</v>
      </c>
      <c r="K31" s="231">
        <f t="shared" si="10"/>
        <v>59375</v>
      </c>
      <c r="L31" s="231">
        <f t="shared" si="10"/>
        <v>47500</v>
      </c>
      <c r="M31" s="231">
        <f t="shared" si="10"/>
        <v>35625</v>
      </c>
      <c r="N31" s="231">
        <f t="shared" si="10"/>
        <v>23750</v>
      </c>
      <c r="O31" s="231">
        <f t="shared" si="10"/>
        <v>11875</v>
      </c>
      <c r="P31" s="71"/>
      <c r="Q31" s="149"/>
      <c r="R31" s="71"/>
      <c r="S31" s="159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49"/>
      <c r="AF31" s="71"/>
      <c r="AG31" s="71"/>
    </row>
    <row r="32" spans="1:33" x14ac:dyDescent="0.25">
      <c r="A32" s="149"/>
      <c r="B32" s="178" t="s">
        <v>162</v>
      </c>
      <c r="C32" s="243" t="s">
        <v>19</v>
      </c>
      <c r="D32" s="246">
        <f>SUM(F32:O32)</f>
        <v>95000</v>
      </c>
      <c r="E32" s="71"/>
      <c r="F32" s="143">
        <v>0</v>
      </c>
      <c r="G32" s="143">
        <v>95000</v>
      </c>
      <c r="H32" s="143"/>
      <c r="I32" s="143"/>
      <c r="J32" s="143"/>
      <c r="K32" s="143"/>
      <c r="L32" s="143"/>
      <c r="M32" s="143"/>
      <c r="N32" s="143"/>
      <c r="O32" s="143"/>
      <c r="P32" s="71"/>
      <c r="Q32" s="149"/>
      <c r="R32" s="71"/>
      <c r="S32" s="15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49"/>
      <c r="AF32" s="71"/>
      <c r="AG32" s="71"/>
    </row>
    <row r="33" spans="1:31" x14ac:dyDescent="0.25">
      <c r="A33" s="149"/>
      <c r="B33" s="178" t="s">
        <v>163</v>
      </c>
      <c r="C33" s="243" t="s">
        <v>19</v>
      </c>
      <c r="D33" s="246">
        <f>SUM(F33:O33)</f>
        <v>95000</v>
      </c>
      <c r="E33" s="71"/>
      <c r="F33" s="143"/>
      <c r="G33" s="143"/>
      <c r="H33" s="143">
        <f>H31/8</f>
        <v>11875</v>
      </c>
      <c r="I33" s="143">
        <f t="shared" ref="I33:O33" si="11">H33</f>
        <v>11875</v>
      </c>
      <c r="J33" s="143">
        <f t="shared" si="11"/>
        <v>11875</v>
      </c>
      <c r="K33" s="143">
        <f t="shared" si="11"/>
        <v>11875</v>
      </c>
      <c r="L33" s="143">
        <f t="shared" si="11"/>
        <v>11875</v>
      </c>
      <c r="M33" s="143">
        <f t="shared" si="11"/>
        <v>11875</v>
      </c>
      <c r="N33" s="143">
        <f t="shared" si="11"/>
        <v>11875</v>
      </c>
      <c r="O33" s="143">
        <f t="shared" si="11"/>
        <v>11875</v>
      </c>
      <c r="P33" s="71"/>
      <c r="Q33" s="149"/>
      <c r="R33" s="71"/>
      <c r="S33" s="15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149"/>
    </row>
    <row r="34" spans="1:31" ht="30" x14ac:dyDescent="0.25">
      <c r="A34" s="149"/>
      <c r="B34" s="178" t="s">
        <v>164</v>
      </c>
      <c r="C34" s="243" t="s">
        <v>19</v>
      </c>
      <c r="D34" s="546" t="s">
        <v>134</v>
      </c>
      <c r="E34" s="71"/>
      <c r="F34" s="231">
        <f t="shared" ref="F34:O34" si="12">F31+F32-F33</f>
        <v>0</v>
      </c>
      <c r="G34" s="231">
        <f t="shared" si="12"/>
        <v>95000</v>
      </c>
      <c r="H34" s="231">
        <f t="shared" si="12"/>
        <v>83125</v>
      </c>
      <c r="I34" s="231">
        <f t="shared" si="12"/>
        <v>71250</v>
      </c>
      <c r="J34" s="231">
        <f t="shared" si="12"/>
        <v>59375</v>
      </c>
      <c r="K34" s="231">
        <f t="shared" si="12"/>
        <v>47500</v>
      </c>
      <c r="L34" s="231">
        <f t="shared" si="12"/>
        <v>35625</v>
      </c>
      <c r="M34" s="231">
        <f t="shared" si="12"/>
        <v>23750</v>
      </c>
      <c r="N34" s="231">
        <f t="shared" si="12"/>
        <v>11875</v>
      </c>
      <c r="O34" s="231">
        <f t="shared" si="12"/>
        <v>0</v>
      </c>
      <c r="P34" s="71"/>
      <c r="Q34" s="149"/>
      <c r="R34" s="71"/>
      <c r="S34" s="159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49"/>
    </row>
    <row r="35" spans="1:31" x14ac:dyDescent="0.25">
      <c r="A35" s="149"/>
      <c r="B35" s="178" t="s">
        <v>165</v>
      </c>
      <c r="C35" s="243" t="s">
        <v>19</v>
      </c>
      <c r="D35" s="246">
        <f>SUM(F35:O35)</f>
        <v>51300</v>
      </c>
      <c r="E35" s="71"/>
      <c r="F35" s="231">
        <f t="shared" ref="F35:O35" si="13">(F31+F34)/2*F30</f>
        <v>0</v>
      </c>
      <c r="G35" s="231">
        <f t="shared" si="13"/>
        <v>5700</v>
      </c>
      <c r="H35" s="231">
        <f t="shared" si="13"/>
        <v>10687.5</v>
      </c>
      <c r="I35" s="231">
        <f t="shared" si="13"/>
        <v>9262.5</v>
      </c>
      <c r="J35" s="231">
        <f t="shared" si="13"/>
        <v>7837.5</v>
      </c>
      <c r="K35" s="231">
        <f t="shared" si="13"/>
        <v>6412.5</v>
      </c>
      <c r="L35" s="231">
        <f t="shared" si="13"/>
        <v>4987.5</v>
      </c>
      <c r="M35" s="231">
        <f t="shared" si="13"/>
        <v>3562.5</v>
      </c>
      <c r="N35" s="231">
        <f t="shared" si="13"/>
        <v>2137.5</v>
      </c>
      <c r="O35" s="231">
        <f t="shared" si="13"/>
        <v>712.5</v>
      </c>
      <c r="P35" s="71"/>
      <c r="Q35" s="149"/>
      <c r="R35" s="71"/>
      <c r="S35" s="159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49"/>
    </row>
    <row r="36" spans="1:31" x14ac:dyDescent="0.25">
      <c r="A36" s="149"/>
      <c r="B36" s="178" t="s">
        <v>166</v>
      </c>
      <c r="C36" s="243" t="s">
        <v>19</v>
      </c>
      <c r="D36" s="246">
        <f>SUM(F36:O36)</f>
        <v>51300</v>
      </c>
      <c r="E36" s="71"/>
      <c r="F36" s="231">
        <f t="shared" ref="F36:O36" si="14">F35</f>
        <v>0</v>
      </c>
      <c r="G36" s="231">
        <f t="shared" si="14"/>
        <v>5700</v>
      </c>
      <c r="H36" s="231">
        <f t="shared" si="14"/>
        <v>10687.5</v>
      </c>
      <c r="I36" s="231">
        <f t="shared" si="14"/>
        <v>9262.5</v>
      </c>
      <c r="J36" s="231">
        <f t="shared" si="14"/>
        <v>7837.5</v>
      </c>
      <c r="K36" s="231">
        <f t="shared" si="14"/>
        <v>6412.5</v>
      </c>
      <c r="L36" s="231">
        <f t="shared" si="14"/>
        <v>4987.5</v>
      </c>
      <c r="M36" s="231">
        <f t="shared" si="14"/>
        <v>3562.5</v>
      </c>
      <c r="N36" s="231">
        <f t="shared" si="14"/>
        <v>2137.5</v>
      </c>
      <c r="O36" s="231">
        <f t="shared" si="14"/>
        <v>712.5</v>
      </c>
      <c r="P36" s="71"/>
      <c r="Q36" s="149"/>
      <c r="R36" s="71"/>
      <c r="S36" s="159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9"/>
    </row>
    <row r="37" spans="1:31" x14ac:dyDescent="0.25">
      <c r="A37" s="149"/>
      <c r="B37" s="178"/>
      <c r="C37" s="243"/>
      <c r="D37" s="149"/>
      <c r="E37" s="71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71"/>
      <c r="Q37" s="149"/>
      <c r="R37" s="71"/>
      <c r="S37" s="15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49"/>
    </row>
    <row r="38" spans="1:31" x14ac:dyDescent="0.25">
      <c r="A38" s="393" t="str" cm="1">
        <f t="array" aca="1" ref="A38" ca="1">HYPERLINK(CELL("адрес",Макро!A19),"источник")</f>
        <v>источник</v>
      </c>
      <c r="B38" s="558" t="s">
        <v>169</v>
      </c>
      <c r="C38" s="243"/>
      <c r="D38" s="149"/>
      <c r="E38" s="71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71"/>
      <c r="Q38" s="149"/>
      <c r="R38" s="71"/>
      <c r="S38" s="159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9"/>
    </row>
    <row r="39" spans="1:31" x14ac:dyDescent="0.25">
      <c r="A39" s="149"/>
      <c r="B39" s="178" t="s">
        <v>452</v>
      </c>
      <c r="C39" s="191" t="s">
        <v>27</v>
      </c>
      <c r="D39" s="137"/>
      <c r="E39" s="71"/>
      <c r="F39" s="572">
        <f>Макро!F19</f>
        <v>0.12</v>
      </c>
      <c r="G39" s="572">
        <f>Макро!G19</f>
        <v>0.12</v>
      </c>
      <c r="H39" s="572">
        <f>Макро!H19</f>
        <v>0.12</v>
      </c>
      <c r="I39" s="572">
        <f>Макро!I19</f>
        <v>0.12</v>
      </c>
      <c r="J39" s="572">
        <f>Макро!J19</f>
        <v>0.12</v>
      </c>
      <c r="K39" s="572">
        <f>Макро!K19</f>
        <v>0.12</v>
      </c>
      <c r="L39" s="572">
        <f>Макро!L19</f>
        <v>0.12</v>
      </c>
      <c r="M39" s="572">
        <f>Макро!M19</f>
        <v>0.12</v>
      </c>
      <c r="N39" s="572">
        <f>Макро!N19</f>
        <v>0.12</v>
      </c>
      <c r="O39" s="572">
        <f>Макро!O19</f>
        <v>0.12</v>
      </c>
      <c r="P39" s="71"/>
      <c r="Q39" s="149"/>
      <c r="R39" s="71"/>
      <c r="S39" s="159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49"/>
    </row>
    <row r="40" spans="1:31" ht="30" x14ac:dyDescent="0.25">
      <c r="A40" s="149"/>
      <c r="B40" s="178" t="s">
        <v>161</v>
      </c>
      <c r="C40" s="243" t="s">
        <v>19</v>
      </c>
      <c r="D40" s="546" t="s">
        <v>134</v>
      </c>
      <c r="E40" s="71"/>
      <c r="F40" s="143">
        <v>0</v>
      </c>
      <c r="G40" s="231">
        <f t="shared" ref="G40:O40" si="15">F43</f>
        <v>0</v>
      </c>
      <c r="H40" s="231">
        <f t="shared" si="15"/>
        <v>0</v>
      </c>
      <c r="I40" s="231">
        <f t="shared" si="15"/>
        <v>0</v>
      </c>
      <c r="J40" s="231">
        <f t="shared" si="15"/>
        <v>0</v>
      </c>
      <c r="K40" s="231">
        <f t="shared" si="15"/>
        <v>0</v>
      </c>
      <c r="L40" s="231">
        <f t="shared" si="15"/>
        <v>0</v>
      </c>
      <c r="M40" s="231">
        <f t="shared" si="15"/>
        <v>0</v>
      </c>
      <c r="N40" s="231">
        <f t="shared" si="15"/>
        <v>0</v>
      </c>
      <c r="O40" s="231">
        <f t="shared" si="15"/>
        <v>0</v>
      </c>
      <c r="P40" s="71"/>
      <c r="Q40" s="149"/>
      <c r="R40" s="71"/>
      <c r="S40" s="159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9"/>
    </row>
    <row r="41" spans="1:31" x14ac:dyDescent="0.25">
      <c r="A41" s="149"/>
      <c r="B41" s="178" t="s">
        <v>162</v>
      </c>
      <c r="C41" s="243" t="s">
        <v>19</v>
      </c>
      <c r="D41" s="246">
        <f>SUM(F41:O41)</f>
        <v>0</v>
      </c>
      <c r="E41" s="71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71"/>
      <c r="Q41" s="149"/>
      <c r="R41" s="71"/>
      <c r="S41" s="159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9"/>
    </row>
    <row r="42" spans="1:31" x14ac:dyDescent="0.25">
      <c r="A42" s="149"/>
      <c r="B42" s="178" t="s">
        <v>163</v>
      </c>
      <c r="C42" s="243" t="s">
        <v>19</v>
      </c>
      <c r="D42" s="246">
        <f>SUM(F42:O42)</f>
        <v>0</v>
      </c>
      <c r="E42" s="71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71"/>
      <c r="Q42" s="149"/>
      <c r="R42" s="71"/>
      <c r="S42" s="159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9"/>
    </row>
    <row r="43" spans="1:31" ht="30" x14ac:dyDescent="0.25">
      <c r="A43" s="149"/>
      <c r="B43" s="178" t="s">
        <v>164</v>
      </c>
      <c r="C43" s="243" t="s">
        <v>19</v>
      </c>
      <c r="D43" s="546" t="s">
        <v>134</v>
      </c>
      <c r="E43" s="71"/>
      <c r="F43" s="231">
        <f t="shared" ref="F43:O43" si="16">F40+F41-F42</f>
        <v>0</v>
      </c>
      <c r="G43" s="231">
        <f t="shared" si="16"/>
        <v>0</v>
      </c>
      <c r="H43" s="231">
        <f t="shared" si="16"/>
        <v>0</v>
      </c>
      <c r="I43" s="231">
        <f t="shared" si="16"/>
        <v>0</v>
      </c>
      <c r="J43" s="231">
        <f t="shared" si="16"/>
        <v>0</v>
      </c>
      <c r="K43" s="231">
        <f t="shared" si="16"/>
        <v>0</v>
      </c>
      <c r="L43" s="231">
        <f t="shared" si="16"/>
        <v>0</v>
      </c>
      <c r="M43" s="231">
        <f t="shared" si="16"/>
        <v>0</v>
      </c>
      <c r="N43" s="231">
        <f t="shared" si="16"/>
        <v>0</v>
      </c>
      <c r="O43" s="231">
        <f t="shared" si="16"/>
        <v>0</v>
      </c>
      <c r="P43" s="71"/>
      <c r="Q43" s="149"/>
      <c r="R43" s="71"/>
      <c r="S43" s="159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9"/>
    </row>
    <row r="44" spans="1:31" x14ac:dyDescent="0.25">
      <c r="A44" s="149"/>
      <c r="B44" s="178" t="s">
        <v>165</v>
      </c>
      <c r="C44" s="243" t="s">
        <v>19</v>
      </c>
      <c r="D44" s="246">
        <f>SUM(F44:O44)</f>
        <v>0</v>
      </c>
      <c r="E44" s="71"/>
      <c r="F44" s="231">
        <f t="shared" ref="F44:O44" si="17">(F40+F43)/2*F39</f>
        <v>0</v>
      </c>
      <c r="G44" s="231">
        <f t="shared" si="17"/>
        <v>0</v>
      </c>
      <c r="H44" s="231">
        <f t="shared" si="17"/>
        <v>0</v>
      </c>
      <c r="I44" s="231">
        <f t="shared" si="17"/>
        <v>0</v>
      </c>
      <c r="J44" s="231">
        <f t="shared" si="17"/>
        <v>0</v>
      </c>
      <c r="K44" s="231">
        <f t="shared" si="17"/>
        <v>0</v>
      </c>
      <c r="L44" s="231">
        <f t="shared" si="17"/>
        <v>0</v>
      </c>
      <c r="M44" s="231">
        <f t="shared" si="17"/>
        <v>0</v>
      </c>
      <c r="N44" s="231">
        <f t="shared" si="17"/>
        <v>0</v>
      </c>
      <c r="O44" s="231">
        <f t="shared" si="17"/>
        <v>0</v>
      </c>
      <c r="P44" s="71"/>
      <c r="Q44" s="149"/>
      <c r="R44" s="71"/>
      <c r="S44" s="159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9"/>
    </row>
    <row r="45" spans="1:31" x14ac:dyDescent="0.25">
      <c r="A45" s="149"/>
      <c r="B45" s="178" t="s">
        <v>166</v>
      </c>
      <c r="C45" s="243" t="s">
        <v>19</v>
      </c>
      <c r="D45" s="246">
        <f>SUM(F45:O45)</f>
        <v>0</v>
      </c>
      <c r="E45" s="71"/>
      <c r="F45" s="231">
        <f t="shared" ref="F45:O45" si="18">F44</f>
        <v>0</v>
      </c>
      <c r="G45" s="231">
        <f t="shared" si="18"/>
        <v>0</v>
      </c>
      <c r="H45" s="231">
        <f t="shared" si="18"/>
        <v>0</v>
      </c>
      <c r="I45" s="231">
        <f t="shared" si="18"/>
        <v>0</v>
      </c>
      <c r="J45" s="231">
        <f t="shared" si="18"/>
        <v>0</v>
      </c>
      <c r="K45" s="231">
        <f t="shared" si="18"/>
        <v>0</v>
      </c>
      <c r="L45" s="231">
        <f t="shared" si="18"/>
        <v>0</v>
      </c>
      <c r="M45" s="231">
        <f t="shared" si="18"/>
        <v>0</v>
      </c>
      <c r="N45" s="231">
        <f t="shared" si="18"/>
        <v>0</v>
      </c>
      <c r="O45" s="231">
        <f t="shared" si="18"/>
        <v>0</v>
      </c>
      <c r="P45" s="71"/>
      <c r="Q45" s="149"/>
      <c r="R45" s="71"/>
      <c r="S45" s="159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49"/>
    </row>
    <row r="46" spans="1:31" x14ac:dyDescent="0.25">
      <c r="A46" s="149"/>
      <c r="B46" s="178"/>
      <c r="C46" s="454"/>
      <c r="D46" s="149"/>
      <c r="E46" s="71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71"/>
      <c r="Q46" s="149"/>
      <c r="R46" s="71"/>
      <c r="S46" s="15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49"/>
    </row>
    <row r="47" spans="1:31" x14ac:dyDescent="0.25">
      <c r="A47" s="149"/>
      <c r="B47" s="558" t="s">
        <v>233</v>
      </c>
      <c r="C47" s="243"/>
      <c r="D47" s="149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71"/>
      <c r="Q47" s="149"/>
      <c r="R47" s="71"/>
      <c r="S47" s="159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49"/>
    </row>
    <row r="48" spans="1:31" x14ac:dyDescent="0.25">
      <c r="A48" s="393" t="str" cm="1">
        <f t="array" aca="1" ref="A48" ca="1">HYPERLINK(CELL("адрес",Макро!A19),"источник")</f>
        <v>источник</v>
      </c>
      <c r="B48" s="178" t="s">
        <v>452</v>
      </c>
      <c r="C48" s="191" t="s">
        <v>27</v>
      </c>
      <c r="D48" s="137"/>
      <c r="E48" s="71"/>
      <c r="F48" s="572">
        <f>Макро!F19</f>
        <v>0.12</v>
      </c>
      <c r="G48" s="572">
        <f>Макро!G19</f>
        <v>0.12</v>
      </c>
      <c r="H48" s="572">
        <f>Макро!H19</f>
        <v>0.12</v>
      </c>
      <c r="I48" s="572">
        <f>Макро!I19</f>
        <v>0.12</v>
      </c>
      <c r="J48" s="572">
        <f>Макро!J19</f>
        <v>0.12</v>
      </c>
      <c r="K48" s="572">
        <f>Макро!K19</f>
        <v>0.12</v>
      </c>
      <c r="L48" s="572">
        <f>Макро!L19</f>
        <v>0.12</v>
      </c>
      <c r="M48" s="572">
        <f>Макро!M19</f>
        <v>0.12</v>
      </c>
      <c r="N48" s="572">
        <f>Макро!N19</f>
        <v>0.12</v>
      </c>
      <c r="O48" s="572">
        <f>Макро!O19</f>
        <v>0.12</v>
      </c>
      <c r="P48" s="71"/>
      <c r="Q48" s="149"/>
      <c r="R48" s="71"/>
      <c r="S48" s="159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49"/>
    </row>
    <row r="49" spans="1:31" ht="30" x14ac:dyDescent="0.25">
      <c r="A49" s="149"/>
      <c r="B49" s="178" t="s">
        <v>161</v>
      </c>
      <c r="C49" s="243" t="s">
        <v>19</v>
      </c>
      <c r="D49" s="546" t="s">
        <v>134</v>
      </c>
      <c r="E49" s="71"/>
      <c r="F49" s="143">
        <v>0</v>
      </c>
      <c r="G49" s="231">
        <f t="shared" ref="G49:O49" si="19">F52</f>
        <v>0</v>
      </c>
      <c r="H49" s="231">
        <f t="shared" si="19"/>
        <v>0</v>
      </c>
      <c r="I49" s="231">
        <f t="shared" si="19"/>
        <v>0</v>
      </c>
      <c r="J49" s="231">
        <f t="shared" si="19"/>
        <v>0</v>
      </c>
      <c r="K49" s="231">
        <f t="shared" si="19"/>
        <v>0</v>
      </c>
      <c r="L49" s="231">
        <f t="shared" si="19"/>
        <v>0</v>
      </c>
      <c r="M49" s="231">
        <f t="shared" si="19"/>
        <v>0</v>
      </c>
      <c r="N49" s="231">
        <f t="shared" si="19"/>
        <v>0</v>
      </c>
      <c r="O49" s="231">
        <f t="shared" si="19"/>
        <v>0</v>
      </c>
      <c r="P49" s="71"/>
      <c r="Q49" s="149"/>
      <c r="R49" s="71"/>
      <c r="S49" s="159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49"/>
    </row>
    <row r="50" spans="1:31" x14ac:dyDescent="0.25">
      <c r="A50" s="149"/>
      <c r="B50" s="178" t="s">
        <v>162</v>
      </c>
      <c r="C50" s="243" t="s">
        <v>19</v>
      </c>
      <c r="D50" s="246">
        <f>SUM(F50:O50)</f>
        <v>0</v>
      </c>
      <c r="E50" s="71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71"/>
      <c r="Q50" s="149"/>
      <c r="R50" s="71"/>
      <c r="S50" s="159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49"/>
    </row>
    <row r="51" spans="1:31" x14ac:dyDescent="0.25">
      <c r="A51" s="149"/>
      <c r="B51" s="178" t="s">
        <v>163</v>
      </c>
      <c r="C51" s="243" t="s">
        <v>19</v>
      </c>
      <c r="D51" s="246">
        <f>SUM(F51:O51)</f>
        <v>0</v>
      </c>
      <c r="E51" s="71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71"/>
      <c r="Q51" s="149"/>
      <c r="R51" s="71"/>
      <c r="S51" s="159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149"/>
    </row>
    <row r="52" spans="1:31" ht="30" x14ac:dyDescent="0.25">
      <c r="A52" s="149"/>
      <c r="B52" s="178" t="s">
        <v>164</v>
      </c>
      <c r="C52" s="243" t="s">
        <v>19</v>
      </c>
      <c r="D52" s="546" t="s">
        <v>134</v>
      </c>
      <c r="E52" s="71"/>
      <c r="F52" s="231">
        <f t="shared" ref="F52:O52" si="20">F49+F50-F51</f>
        <v>0</v>
      </c>
      <c r="G52" s="231">
        <f t="shared" si="20"/>
        <v>0</v>
      </c>
      <c r="H52" s="231">
        <f t="shared" si="20"/>
        <v>0</v>
      </c>
      <c r="I52" s="231">
        <f t="shared" si="20"/>
        <v>0</v>
      </c>
      <c r="J52" s="231">
        <f t="shared" si="20"/>
        <v>0</v>
      </c>
      <c r="K52" s="231">
        <f t="shared" si="20"/>
        <v>0</v>
      </c>
      <c r="L52" s="231">
        <f t="shared" si="20"/>
        <v>0</v>
      </c>
      <c r="M52" s="231">
        <f t="shared" si="20"/>
        <v>0</v>
      </c>
      <c r="N52" s="231">
        <f t="shared" si="20"/>
        <v>0</v>
      </c>
      <c r="O52" s="231">
        <f t="shared" si="20"/>
        <v>0</v>
      </c>
      <c r="P52" s="71"/>
      <c r="Q52" s="149"/>
      <c r="R52" s="71"/>
      <c r="S52" s="159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49"/>
    </row>
    <row r="53" spans="1:31" x14ac:dyDescent="0.25">
      <c r="A53" s="149"/>
      <c r="B53" s="178" t="s">
        <v>165</v>
      </c>
      <c r="C53" s="243" t="s">
        <v>19</v>
      </c>
      <c r="D53" s="246">
        <f>SUM(F53:O53)</f>
        <v>0</v>
      </c>
      <c r="E53" s="71"/>
      <c r="F53" s="231">
        <f t="shared" ref="F53:O53" si="21">(F49+F52)/2*F48</f>
        <v>0</v>
      </c>
      <c r="G53" s="231">
        <f t="shared" si="21"/>
        <v>0</v>
      </c>
      <c r="H53" s="231">
        <f t="shared" si="21"/>
        <v>0</v>
      </c>
      <c r="I53" s="231">
        <f t="shared" si="21"/>
        <v>0</v>
      </c>
      <c r="J53" s="231">
        <f t="shared" si="21"/>
        <v>0</v>
      </c>
      <c r="K53" s="231">
        <f t="shared" si="21"/>
        <v>0</v>
      </c>
      <c r="L53" s="231">
        <f t="shared" si="21"/>
        <v>0</v>
      </c>
      <c r="M53" s="231">
        <f t="shared" si="21"/>
        <v>0</v>
      </c>
      <c r="N53" s="231">
        <f t="shared" si="21"/>
        <v>0</v>
      </c>
      <c r="O53" s="231">
        <f t="shared" si="21"/>
        <v>0</v>
      </c>
      <c r="P53" s="71"/>
      <c r="Q53" s="149"/>
      <c r="R53" s="71"/>
      <c r="S53" s="159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49"/>
    </row>
    <row r="54" spans="1:31" x14ac:dyDescent="0.25">
      <c r="A54" s="149"/>
      <c r="B54" s="178" t="s">
        <v>166</v>
      </c>
      <c r="C54" s="243" t="s">
        <v>19</v>
      </c>
      <c r="D54" s="246">
        <f>SUM(F54:O54)</f>
        <v>0</v>
      </c>
      <c r="E54" s="71"/>
      <c r="F54" s="231">
        <f t="shared" ref="F54:O54" si="22">F53</f>
        <v>0</v>
      </c>
      <c r="G54" s="231">
        <f t="shared" si="22"/>
        <v>0</v>
      </c>
      <c r="H54" s="231">
        <f t="shared" si="22"/>
        <v>0</v>
      </c>
      <c r="I54" s="231">
        <f t="shared" si="22"/>
        <v>0</v>
      </c>
      <c r="J54" s="231">
        <f t="shared" si="22"/>
        <v>0</v>
      </c>
      <c r="K54" s="231">
        <f t="shared" si="22"/>
        <v>0</v>
      </c>
      <c r="L54" s="231">
        <f t="shared" si="22"/>
        <v>0</v>
      </c>
      <c r="M54" s="231">
        <f t="shared" si="22"/>
        <v>0</v>
      </c>
      <c r="N54" s="231">
        <f t="shared" si="22"/>
        <v>0</v>
      </c>
      <c r="O54" s="231">
        <f t="shared" si="22"/>
        <v>0</v>
      </c>
      <c r="P54" s="71"/>
      <c r="Q54" s="149"/>
      <c r="R54" s="71"/>
      <c r="S54" s="159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49"/>
    </row>
    <row r="55" spans="1:31" x14ac:dyDescent="0.25">
      <c r="A55" s="149"/>
      <c r="B55" s="178"/>
      <c r="C55" s="454"/>
      <c r="D55" s="149"/>
      <c r="E55" s="71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71"/>
      <c r="Q55" s="149"/>
      <c r="R55" s="71"/>
      <c r="S55" s="159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49"/>
    </row>
    <row r="56" spans="1:31" x14ac:dyDescent="0.25">
      <c r="A56" s="149"/>
      <c r="B56" s="558" t="s">
        <v>234</v>
      </c>
      <c r="C56" s="243"/>
      <c r="D56" s="149"/>
      <c r="E56" s="71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71"/>
      <c r="Q56" s="149"/>
      <c r="R56" s="71"/>
      <c r="S56" s="159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49"/>
    </row>
    <row r="57" spans="1:31" x14ac:dyDescent="0.25">
      <c r="A57" s="393" t="str" cm="1">
        <f t="array" aca="1" ref="A57" ca="1">HYPERLINK(CELL("адрес",Макро!A19),"источник")</f>
        <v>источник</v>
      </c>
      <c r="B57" s="178" t="s">
        <v>452</v>
      </c>
      <c r="C57" s="191" t="s">
        <v>27</v>
      </c>
      <c r="D57" s="137"/>
      <c r="E57" s="71"/>
      <c r="F57" s="278">
        <f>Макро!F19</f>
        <v>0.12</v>
      </c>
      <c r="G57" s="278">
        <f>Макро!G19</f>
        <v>0.12</v>
      </c>
      <c r="H57" s="278">
        <f>Макро!H19</f>
        <v>0.12</v>
      </c>
      <c r="I57" s="278">
        <f>Макро!I19</f>
        <v>0.12</v>
      </c>
      <c r="J57" s="278">
        <f>Макро!J19</f>
        <v>0.12</v>
      </c>
      <c r="K57" s="278">
        <f>Макро!K19</f>
        <v>0.12</v>
      </c>
      <c r="L57" s="278">
        <f>Макро!L19</f>
        <v>0.12</v>
      </c>
      <c r="M57" s="278">
        <f>Макро!M19</f>
        <v>0.12</v>
      </c>
      <c r="N57" s="278">
        <f>Макро!N19</f>
        <v>0.12</v>
      </c>
      <c r="O57" s="278">
        <f>Макро!O19</f>
        <v>0.12</v>
      </c>
      <c r="P57" s="71"/>
      <c r="Q57" s="149"/>
      <c r="R57" s="71"/>
      <c r="S57" s="159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49"/>
    </row>
    <row r="58" spans="1:31" ht="30" x14ac:dyDescent="0.25">
      <c r="A58" s="149"/>
      <c r="B58" s="178" t="s">
        <v>161</v>
      </c>
      <c r="C58" s="243" t="s">
        <v>19</v>
      </c>
      <c r="D58" s="546" t="s">
        <v>134</v>
      </c>
      <c r="E58" s="71"/>
      <c r="F58" s="143">
        <v>0</v>
      </c>
      <c r="G58" s="231">
        <f t="shared" ref="G58:O58" si="23">F61</f>
        <v>0</v>
      </c>
      <c r="H58" s="231">
        <f t="shared" si="23"/>
        <v>0</v>
      </c>
      <c r="I58" s="231">
        <f t="shared" si="23"/>
        <v>0</v>
      </c>
      <c r="J58" s="231">
        <f t="shared" si="23"/>
        <v>0</v>
      </c>
      <c r="K58" s="231">
        <f t="shared" si="23"/>
        <v>0</v>
      </c>
      <c r="L58" s="231">
        <f t="shared" si="23"/>
        <v>0</v>
      </c>
      <c r="M58" s="231">
        <f t="shared" si="23"/>
        <v>0</v>
      </c>
      <c r="N58" s="231">
        <f t="shared" si="23"/>
        <v>0</v>
      </c>
      <c r="O58" s="231">
        <f t="shared" si="23"/>
        <v>0</v>
      </c>
      <c r="P58" s="71"/>
      <c r="Q58" s="149"/>
      <c r="R58" s="71"/>
      <c r="S58" s="159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49"/>
    </row>
    <row r="59" spans="1:31" x14ac:dyDescent="0.25">
      <c r="A59" s="149"/>
      <c r="B59" s="178" t="s">
        <v>162</v>
      </c>
      <c r="C59" s="243" t="s">
        <v>19</v>
      </c>
      <c r="D59" s="246">
        <f>SUM(F59:O59)</f>
        <v>0</v>
      </c>
      <c r="E59" s="71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71"/>
      <c r="Q59" s="149"/>
      <c r="R59" s="71"/>
      <c r="S59" s="159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149"/>
    </row>
    <row r="60" spans="1:31" x14ac:dyDescent="0.25">
      <c r="A60" s="149"/>
      <c r="B60" s="178" t="s">
        <v>163</v>
      </c>
      <c r="C60" s="243" t="s">
        <v>19</v>
      </c>
      <c r="D60" s="246">
        <f>SUM(F60:O60)</f>
        <v>0</v>
      </c>
      <c r="E60" s="71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71"/>
      <c r="Q60" s="149"/>
      <c r="R60" s="71"/>
      <c r="S60" s="159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149"/>
    </row>
    <row r="61" spans="1:31" ht="30" x14ac:dyDescent="0.25">
      <c r="A61" s="149"/>
      <c r="B61" s="178" t="s">
        <v>164</v>
      </c>
      <c r="C61" s="243" t="s">
        <v>19</v>
      </c>
      <c r="D61" s="546" t="s">
        <v>134</v>
      </c>
      <c r="E61" s="71"/>
      <c r="F61" s="231">
        <f t="shared" ref="F61:O61" si="24">F58+F59-F60</f>
        <v>0</v>
      </c>
      <c r="G61" s="231">
        <f t="shared" si="24"/>
        <v>0</v>
      </c>
      <c r="H61" s="231">
        <f t="shared" si="24"/>
        <v>0</v>
      </c>
      <c r="I61" s="231">
        <f t="shared" si="24"/>
        <v>0</v>
      </c>
      <c r="J61" s="231">
        <f t="shared" si="24"/>
        <v>0</v>
      </c>
      <c r="K61" s="231">
        <f t="shared" si="24"/>
        <v>0</v>
      </c>
      <c r="L61" s="231">
        <f t="shared" si="24"/>
        <v>0</v>
      </c>
      <c r="M61" s="231">
        <f t="shared" si="24"/>
        <v>0</v>
      </c>
      <c r="N61" s="231">
        <f t="shared" si="24"/>
        <v>0</v>
      </c>
      <c r="O61" s="231">
        <f t="shared" si="24"/>
        <v>0</v>
      </c>
      <c r="P61" s="71"/>
      <c r="Q61" s="149"/>
      <c r="R61" s="71"/>
      <c r="S61" s="159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149"/>
    </row>
    <row r="62" spans="1:31" x14ac:dyDescent="0.25">
      <c r="A62" s="149"/>
      <c r="B62" s="178" t="s">
        <v>165</v>
      </c>
      <c r="C62" s="243" t="s">
        <v>19</v>
      </c>
      <c r="D62" s="246">
        <f>SUM(F62:O62)</f>
        <v>0</v>
      </c>
      <c r="E62" s="71"/>
      <c r="F62" s="231">
        <f t="shared" ref="F62:O62" si="25">(F58+F61)/2*F57</f>
        <v>0</v>
      </c>
      <c r="G62" s="231">
        <f t="shared" si="25"/>
        <v>0</v>
      </c>
      <c r="H62" s="231">
        <f t="shared" si="25"/>
        <v>0</v>
      </c>
      <c r="I62" s="231">
        <f t="shared" si="25"/>
        <v>0</v>
      </c>
      <c r="J62" s="231">
        <f t="shared" si="25"/>
        <v>0</v>
      </c>
      <c r="K62" s="231">
        <f t="shared" si="25"/>
        <v>0</v>
      </c>
      <c r="L62" s="231">
        <f t="shared" si="25"/>
        <v>0</v>
      </c>
      <c r="M62" s="231">
        <f t="shared" si="25"/>
        <v>0</v>
      </c>
      <c r="N62" s="231">
        <f t="shared" si="25"/>
        <v>0</v>
      </c>
      <c r="O62" s="231">
        <f t="shared" si="25"/>
        <v>0</v>
      </c>
      <c r="P62" s="71"/>
      <c r="Q62" s="149"/>
      <c r="R62" s="71"/>
      <c r="S62" s="159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149"/>
    </row>
    <row r="63" spans="1:31" x14ac:dyDescent="0.25">
      <c r="A63" s="149"/>
      <c r="B63" s="178" t="s">
        <v>166</v>
      </c>
      <c r="C63" s="243" t="s">
        <v>19</v>
      </c>
      <c r="D63" s="246">
        <f>SUM(F63:O63)</f>
        <v>0</v>
      </c>
      <c r="E63" s="71"/>
      <c r="F63" s="231">
        <f t="shared" ref="F63:O63" si="26">F62</f>
        <v>0</v>
      </c>
      <c r="G63" s="231">
        <f t="shared" si="26"/>
        <v>0</v>
      </c>
      <c r="H63" s="231">
        <f t="shared" si="26"/>
        <v>0</v>
      </c>
      <c r="I63" s="231">
        <f t="shared" si="26"/>
        <v>0</v>
      </c>
      <c r="J63" s="231">
        <f t="shared" si="26"/>
        <v>0</v>
      </c>
      <c r="K63" s="231">
        <f t="shared" si="26"/>
        <v>0</v>
      </c>
      <c r="L63" s="231">
        <f t="shared" si="26"/>
        <v>0</v>
      </c>
      <c r="M63" s="231">
        <f t="shared" si="26"/>
        <v>0</v>
      </c>
      <c r="N63" s="231">
        <f t="shared" si="26"/>
        <v>0</v>
      </c>
      <c r="O63" s="231">
        <f t="shared" si="26"/>
        <v>0</v>
      </c>
      <c r="P63" s="71"/>
      <c r="Q63" s="149"/>
      <c r="R63" s="71"/>
      <c r="S63" s="159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149"/>
    </row>
    <row r="64" spans="1:31" x14ac:dyDescent="0.25">
      <c r="A64" s="71"/>
      <c r="B64" s="178"/>
      <c r="C64" s="243"/>
      <c r="D64" s="246"/>
      <c r="E64" s="71"/>
      <c r="F64" s="390"/>
      <c r="G64" s="390"/>
      <c r="H64" s="390"/>
      <c r="I64" s="390"/>
      <c r="J64" s="390"/>
      <c r="K64" s="390"/>
      <c r="L64" s="390"/>
      <c r="M64" s="390"/>
      <c r="N64" s="390"/>
      <c r="O64" s="390"/>
      <c r="P64" s="71"/>
      <c r="Q64" s="71"/>
      <c r="R64" s="71"/>
      <c r="S64" s="159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1:31" ht="15.75" thickBot="1" x14ac:dyDescent="0.3">
      <c r="A65" s="132"/>
      <c r="B65" s="179"/>
      <c r="C65" s="192"/>
      <c r="D65" s="132"/>
      <c r="E65" s="71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71"/>
      <c r="Q65" s="132"/>
      <c r="R65" s="71"/>
      <c r="S65" s="159"/>
      <c r="AE65" s="132"/>
    </row>
    <row r="67" spans="1:31" x14ac:dyDescent="0.25">
      <c r="A67" s="71"/>
      <c r="B67" s="169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9" spans="1:31" x14ac:dyDescent="0.25">
      <c r="A69" s="71"/>
      <c r="B69" s="174" t="str" cm="1">
        <f t="array" aca="1" ref="B69" ca="1">HYPERLINK(CELL("адрес",БДР!$A$1),"Перейти на лист БДР")</f>
        <v>Перейти на лист БДР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1:31" x14ac:dyDescent="0.25">
      <c r="A70" s="71"/>
      <c r="B70" s="174" t="str" cm="1">
        <f t="array" aca="1" ref="B70" ca="1">HYPERLINK(CELL("адрес",БДДС!$A$1),"Перейти на лист БДДС")</f>
        <v>Перейти на лист БДДС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1:31" x14ac:dyDescent="0.25">
      <c r="A71" s="71"/>
      <c r="B71" s="174" t="str" cm="1">
        <f t="array" aca="1" ref="B71" ca="1">HYPERLINK(CELL("адрес",Баланс!$A$1),"Перейти на лист Баланс")</f>
        <v>Перейти на лист Баланс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1:31" x14ac:dyDescent="0.25">
      <c r="A72" s="71"/>
      <c r="B72" s="401" t="str" cm="1">
        <f t="array" aca="1" ref="B72" ca="1">HYPERLINK(CELL("адрес",Дашборд_ИтогТабл!$A$1),"Перейти на лист Дашборд_1")</f>
        <v>Перейти на лист Дашборд_1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1:31" x14ac:dyDescent="0.25">
      <c r="A73" s="71"/>
      <c r="B73" s="401" t="str" cm="1">
        <f t="array" aca="1" ref="B73" ca="1">HYPERLINK(CELL("адрес",Дашборд_Основной!$A$1),"Перейти на лист Дашборд_Общий")</f>
        <v>Перейти на лист Дашборд_Общий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1:31" x14ac:dyDescent="0.25">
      <c r="A74" s="71"/>
      <c r="B74" s="401" t="str" cm="1">
        <f t="array" aca="1" ref="B74" ca="1">HYPERLINK(CELL("адрес",Дашборд_налоги!$A$1),"Перейти на лист Дашборд_Налоги")</f>
        <v>Перейти на лист Дашборд_Налоги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</sheetData>
  <mergeCells count="2">
    <mergeCell ref="A5:C5"/>
    <mergeCell ref="A16:C16"/>
  </mergeCells>
  <hyperlinks>
    <hyperlink ref="I1" location="Контроль!A1" display="Контроль!A1" xr:uid="{B968D7BA-F3FC-4B5D-BD18-A1764F490A58}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2CBC-4E5C-4372-9D74-4E817D4B36E8}">
  <sheetPr codeName="Лист15">
    <tabColor theme="9" tint="0.59999389629810485"/>
    <outlinePr summaryBelow="0" summaryRight="0"/>
    <pageSetUpPr fitToPage="1"/>
  </sheetPr>
  <dimension ref="A1:BZ67"/>
  <sheetViews>
    <sheetView zoomScaleNormal="100" workbookViewId="0">
      <pane xSplit="4" ySplit="3" topLeftCell="E4" activePane="bottomRight" state="frozen"/>
      <selection activeCell="L14" sqref="L14"/>
      <selection pane="topRight" activeCell="L14" sqref="L14"/>
      <selection pane="bottomLeft" activeCell="L14" sqref="L14"/>
      <selection pane="bottomRight" activeCell="B1" sqref="B1"/>
    </sheetView>
  </sheetViews>
  <sheetFormatPr defaultColWidth="0" defaultRowHeight="15" outlineLevelCol="1" x14ac:dyDescent="0.25"/>
  <cols>
    <col min="1" max="1" width="8.42578125" customWidth="1"/>
    <col min="2" max="2" width="29.8554687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8" width="0" hidden="1" customWidth="1"/>
    <col min="79" max="16384" width="8.85546875" hidden="1"/>
  </cols>
  <sheetData>
    <row r="1" spans="1:31" ht="25.5" x14ac:dyDescent="0.25">
      <c r="A1" s="690" t="s">
        <v>459</v>
      </c>
      <c r="B1" s="167"/>
      <c r="C1" s="71"/>
      <c r="D1" s="71"/>
      <c r="E1" s="71"/>
      <c r="F1" s="71"/>
      <c r="G1" s="71"/>
      <c r="H1" s="71"/>
      <c r="I1" s="154" t="str">
        <f ca="1">Контроль!$Q$1</f>
        <v>Ошибок нет</v>
      </c>
      <c r="J1" s="585"/>
      <c r="K1" s="71"/>
      <c r="L1" s="71"/>
      <c r="M1" s="71"/>
      <c r="N1" s="71"/>
      <c r="O1" s="71"/>
      <c r="P1" s="71"/>
      <c r="Q1" s="71"/>
      <c r="R1" s="71"/>
      <c r="S1" s="158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x14ac:dyDescent="0.25">
      <c r="A2" s="71" t="str">
        <f>Паспорт_ФМ_резидент!B7</f>
        <v>Название инвест. проект 01</v>
      </c>
      <c r="B2" s="167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9"/>
      <c r="T2" s="162">
        <v>11</v>
      </c>
      <c r="U2" s="162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42.75" x14ac:dyDescent="0.25">
      <c r="A3" s="127" t="s">
        <v>2</v>
      </c>
      <c r="B3" s="236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5"/>
      <c r="Q3" s="127" t="s">
        <v>106</v>
      </c>
      <c r="R3" s="155"/>
      <c r="S3" s="160"/>
      <c r="T3" s="163">
        <v>2035</v>
      </c>
      <c r="U3" s="163">
        <f>T3+1</f>
        <v>2036</v>
      </c>
      <c r="V3" s="163">
        <f>U3+1</f>
        <v>2037</v>
      </c>
      <c r="W3" s="163">
        <f t="shared" si="0"/>
        <v>2038</v>
      </c>
      <c r="X3" s="163">
        <f t="shared" si="0"/>
        <v>2039</v>
      </c>
      <c r="Y3" s="163">
        <f t="shared" si="0"/>
        <v>2040</v>
      </c>
      <c r="Z3" s="163">
        <f t="shared" si="0"/>
        <v>2041</v>
      </c>
      <c r="AA3" s="163">
        <f t="shared" si="0"/>
        <v>2042</v>
      </c>
      <c r="AB3" s="163">
        <f t="shared" si="0"/>
        <v>2043</v>
      </c>
      <c r="AC3" s="163">
        <f t="shared" si="0"/>
        <v>2044</v>
      </c>
      <c r="AD3" s="155"/>
      <c r="AE3" s="236" t="s">
        <v>202</v>
      </c>
    </row>
    <row r="4" spans="1:31" ht="7.15" customHeight="1" x14ac:dyDescent="0.25">
      <c r="A4" s="149"/>
      <c r="B4" s="178"/>
      <c r="C4" s="149"/>
      <c r="D4" s="149"/>
      <c r="E4" s="7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71"/>
      <c r="Q4" s="149"/>
      <c r="R4" s="71"/>
      <c r="S4" s="159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9"/>
    </row>
    <row r="5" spans="1:31" x14ac:dyDescent="0.25">
      <c r="A5" s="575" t="str" cm="1">
        <f t="array" aca="1" ref="A5" ca="1">HYPERLINK(CELL("адрес",БДДС!A58),"источник")</f>
        <v>источник</v>
      </c>
      <c r="B5" s="571" t="s">
        <v>168</v>
      </c>
      <c r="C5" s="454"/>
      <c r="D5" s="149"/>
      <c r="E5" s="71"/>
      <c r="F5" s="571">
        <f ca="1">БДДС!F58</f>
        <v>3577.8642666666638</v>
      </c>
      <c r="G5" s="571">
        <f ca="1">БДДС!G58</f>
        <v>27970.645542399987</v>
      </c>
      <c r="H5" s="571">
        <f ca="1">БДДС!H58</f>
        <v>1816.1782407605788</v>
      </c>
      <c r="I5" s="571">
        <f ca="1">БДДС!I58</f>
        <v>40923.739838944806</v>
      </c>
      <c r="J5" s="571">
        <f ca="1">БДДС!J58</f>
        <v>84329.494879429025</v>
      </c>
      <c r="K5" s="571">
        <f ca="1">БДДС!K58</f>
        <v>132092.33306645125</v>
      </c>
      <c r="L5" s="571">
        <f ca="1">БДДС!L58</f>
        <v>184467.71100819414</v>
      </c>
      <c r="M5" s="571">
        <f ca="1">БДДС!M58</f>
        <v>241673.29237955395</v>
      </c>
      <c r="N5" s="571">
        <f ca="1">БДДС!N58</f>
        <v>300269.86374829285</v>
      </c>
      <c r="O5" s="571">
        <f ca="1">БДДС!O58</f>
        <v>363745.67162973888</v>
      </c>
      <c r="P5" s="71"/>
      <c r="Q5" s="149"/>
      <c r="R5" s="71"/>
      <c r="S5" s="159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149"/>
    </row>
    <row r="6" spans="1:31" x14ac:dyDescent="0.25">
      <c r="A6" s="71"/>
      <c r="B6" s="587"/>
      <c r="C6" s="595"/>
      <c r="D6" s="595"/>
      <c r="E6" s="71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71"/>
      <c r="Q6" s="71"/>
      <c r="R6" s="71"/>
      <c r="S6" s="159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</row>
    <row r="7" spans="1:31" ht="28.5" x14ac:dyDescent="0.25">
      <c r="A7" s="548"/>
      <c r="B7" s="548" t="s">
        <v>462</v>
      </c>
      <c r="C7" s="548"/>
      <c r="D7" s="548"/>
      <c r="E7" s="7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71"/>
      <c r="Q7" s="71"/>
      <c r="R7" s="71"/>
      <c r="S7" s="159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49" t="s">
        <v>215</v>
      </c>
    </row>
    <row r="8" spans="1:31" ht="21" customHeight="1" x14ac:dyDescent="0.25">
      <c r="A8" s="71"/>
      <c r="B8" s="588" t="s">
        <v>460</v>
      </c>
      <c r="C8" s="568" t="s">
        <v>19</v>
      </c>
      <c r="D8" s="596">
        <f>SUM(F8:O8)</f>
        <v>929773.54922430473</v>
      </c>
      <c r="E8" s="71"/>
      <c r="F8" s="550">
        <f t="shared" ref="F8:O8" si="2">SUMIF($B$15:$B$48,$B$15,F$15:F$48)</f>
        <v>0</v>
      </c>
      <c r="G8" s="550">
        <f t="shared" si="2"/>
        <v>0</v>
      </c>
      <c r="H8" s="550">
        <f t="shared" si="2"/>
        <v>38530</v>
      </c>
      <c r="I8" s="550">
        <f t="shared" si="2"/>
        <v>112840</v>
      </c>
      <c r="J8" s="550">
        <f t="shared" si="2"/>
        <v>117353.60000000002</v>
      </c>
      <c r="K8" s="550">
        <f t="shared" si="2"/>
        <v>122047.74400000002</v>
      </c>
      <c r="L8" s="550">
        <f t="shared" si="2"/>
        <v>126929.65376</v>
      </c>
      <c r="M8" s="550">
        <f t="shared" si="2"/>
        <v>132006.83991040001</v>
      </c>
      <c r="N8" s="550">
        <f t="shared" si="2"/>
        <v>137287.11350681601</v>
      </c>
      <c r="O8" s="550">
        <f t="shared" si="2"/>
        <v>142778.59804708866</v>
      </c>
      <c r="P8" s="71"/>
      <c r="Q8" s="71"/>
      <c r="R8" s="71"/>
      <c r="S8" s="15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ht="21" customHeight="1" x14ac:dyDescent="0.25">
      <c r="A9" s="518" t="str" cm="1">
        <f t="array" aca="1" ref="A9" ca="1">HYPERLINK(CELL("адрес",Макро!$B$31),"источник")</f>
        <v>источник</v>
      </c>
      <c r="B9" s="589" t="s">
        <v>172</v>
      </c>
      <c r="C9" s="454" t="s">
        <v>19</v>
      </c>
      <c r="D9" s="246">
        <f>SUM(F9:O9)</f>
        <v>185954.70984486095</v>
      </c>
      <c r="E9" s="71"/>
      <c r="F9" s="579">
        <f>F8*Макро!F31</f>
        <v>0</v>
      </c>
      <c r="G9" s="579">
        <f>G8*Макро!G31</f>
        <v>0</v>
      </c>
      <c r="H9" s="579">
        <f>H8*Макро!H31</f>
        <v>7706</v>
      </c>
      <c r="I9" s="579">
        <f>I8*Макро!I31</f>
        <v>22568</v>
      </c>
      <c r="J9" s="579">
        <f>J8*Макро!J31</f>
        <v>23470.720000000005</v>
      </c>
      <c r="K9" s="579">
        <f>K8*Макро!K31</f>
        <v>24409.548800000004</v>
      </c>
      <c r="L9" s="579">
        <f>L8*Макро!L31</f>
        <v>25385.930752</v>
      </c>
      <c r="M9" s="579">
        <f>M8*Макро!M31</f>
        <v>26401.367982080003</v>
      </c>
      <c r="N9" s="579">
        <f>N8*Макро!N31</f>
        <v>27457.422701363204</v>
      </c>
      <c r="O9" s="579">
        <f>O8*Макро!O31</f>
        <v>28555.719609417734</v>
      </c>
      <c r="P9" s="71"/>
      <c r="Q9" s="71"/>
      <c r="R9" s="71"/>
      <c r="S9" s="15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ht="21" customHeight="1" x14ac:dyDescent="0.25">
      <c r="A10" s="71"/>
      <c r="B10" s="589" t="s">
        <v>461</v>
      </c>
      <c r="C10" s="454" t="s">
        <v>19</v>
      </c>
      <c r="D10" s="246">
        <f>SUM(F10:O10)</f>
        <v>1115728.2590691657</v>
      </c>
      <c r="E10" s="71"/>
      <c r="F10" s="579">
        <f>F8+F9</f>
        <v>0</v>
      </c>
      <c r="G10" s="579">
        <f t="shared" ref="G10:O10" si="3">G8+G9</f>
        <v>0</v>
      </c>
      <c r="H10" s="579">
        <f t="shared" si="3"/>
        <v>46236</v>
      </c>
      <c r="I10" s="579">
        <f t="shared" si="3"/>
        <v>135408</v>
      </c>
      <c r="J10" s="579">
        <f t="shared" si="3"/>
        <v>140824.32000000004</v>
      </c>
      <c r="K10" s="579">
        <f t="shared" si="3"/>
        <v>146457.29280000002</v>
      </c>
      <c r="L10" s="579">
        <f t="shared" si="3"/>
        <v>152315.584512</v>
      </c>
      <c r="M10" s="579">
        <f t="shared" si="3"/>
        <v>158408.20789248002</v>
      </c>
      <c r="N10" s="579">
        <f t="shared" si="3"/>
        <v>164744.5362081792</v>
      </c>
      <c r="O10" s="579">
        <f t="shared" si="3"/>
        <v>171334.31765650638</v>
      </c>
      <c r="P10" s="71"/>
      <c r="Q10" s="71"/>
      <c r="R10" s="71"/>
      <c r="S10" s="15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</row>
    <row r="11" spans="1:31" x14ac:dyDescent="0.25">
      <c r="A11" s="149"/>
      <c r="B11" s="178"/>
      <c r="C11" s="149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49"/>
      <c r="R11" s="71"/>
      <c r="S11" s="15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9"/>
    </row>
    <row r="12" spans="1:31" x14ac:dyDescent="0.25">
      <c r="A12" s="149"/>
      <c r="B12" s="590" t="s">
        <v>171</v>
      </c>
      <c r="C12" s="521"/>
      <c r="D12" s="521"/>
      <c r="E12" s="458"/>
      <c r="F12" s="571">
        <f>F9</f>
        <v>0</v>
      </c>
      <c r="G12" s="571">
        <f>F12+G9</f>
        <v>0</v>
      </c>
      <c r="H12" s="571">
        <f t="shared" ref="H12:O12" si="4">G12+H9</f>
        <v>7706</v>
      </c>
      <c r="I12" s="571">
        <f t="shared" si="4"/>
        <v>30274</v>
      </c>
      <c r="J12" s="571">
        <f t="shared" si="4"/>
        <v>53744.72</v>
      </c>
      <c r="K12" s="571">
        <f t="shared" si="4"/>
        <v>78154.268800000005</v>
      </c>
      <c r="L12" s="571">
        <f t="shared" si="4"/>
        <v>103540.19955200001</v>
      </c>
      <c r="M12" s="571">
        <f t="shared" si="4"/>
        <v>129941.56753408001</v>
      </c>
      <c r="N12" s="571">
        <f t="shared" si="4"/>
        <v>157398.99023544323</v>
      </c>
      <c r="O12" s="571">
        <f t="shared" si="4"/>
        <v>185954.70984486095</v>
      </c>
      <c r="P12" s="71"/>
      <c r="Q12" s="149"/>
      <c r="R12" s="71"/>
      <c r="S12" s="159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9"/>
    </row>
    <row r="13" spans="1:31" x14ac:dyDescent="0.25">
      <c r="A13" s="149"/>
      <c r="B13" s="178"/>
      <c r="C13" s="149"/>
      <c r="D13" s="149"/>
      <c r="E13" s="71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71"/>
      <c r="Q13" s="149"/>
      <c r="R13" s="71"/>
      <c r="S13" s="159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149"/>
    </row>
    <row r="14" spans="1:31" x14ac:dyDescent="0.25">
      <c r="A14" s="558"/>
      <c r="B14" s="552" t="s">
        <v>210</v>
      </c>
      <c r="C14" s="552"/>
      <c r="D14" s="552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59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</row>
    <row r="15" spans="1:31" x14ac:dyDescent="0.25">
      <c r="A15" s="149"/>
      <c r="B15" s="591" t="s">
        <v>460</v>
      </c>
      <c r="C15" s="454" t="s">
        <v>19</v>
      </c>
      <c r="D15" s="246">
        <f>SUM(F15:O15)</f>
        <v>919666.47771214647</v>
      </c>
      <c r="E15" s="71"/>
      <c r="F15" s="228">
        <f>F16*F17</f>
        <v>0</v>
      </c>
      <c r="G15" s="228">
        <f t="shared" ref="G15:O15" si="5">G16*G17</f>
        <v>0</v>
      </c>
      <c r="H15" s="228">
        <f t="shared" si="5"/>
        <v>38280</v>
      </c>
      <c r="I15" s="228">
        <f t="shared" si="5"/>
        <v>111592</v>
      </c>
      <c r="J15" s="228">
        <f t="shared" si="5"/>
        <v>116055.68000000001</v>
      </c>
      <c r="K15" s="228">
        <f t="shared" si="5"/>
        <v>120697.90720000002</v>
      </c>
      <c r="L15" s="228">
        <f t="shared" si="5"/>
        <v>125525.82348800001</v>
      </c>
      <c r="M15" s="228">
        <f t="shared" si="5"/>
        <v>130546.85642752002</v>
      </c>
      <c r="N15" s="228">
        <f t="shared" si="5"/>
        <v>135768.73068462082</v>
      </c>
      <c r="O15" s="228">
        <f t="shared" si="5"/>
        <v>141199.47991200566</v>
      </c>
      <c r="P15" s="71"/>
      <c r="Q15" s="71"/>
      <c r="R15" s="71"/>
      <c r="S15" s="15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</row>
    <row r="16" spans="1:31" ht="30" x14ac:dyDescent="0.25">
      <c r="A16" s="149"/>
      <c r="B16" s="592" t="s">
        <v>141</v>
      </c>
      <c r="C16" s="244" t="s">
        <v>113</v>
      </c>
      <c r="D16" s="149"/>
      <c r="E16" s="71"/>
      <c r="F16" s="580"/>
      <c r="G16" s="580"/>
      <c r="H16" s="146">
        <v>5.8</v>
      </c>
      <c r="I16" s="580">
        <f>H16*Макро!I6</f>
        <v>6.032</v>
      </c>
      <c r="J16" s="580">
        <f>I16*Макро!J6</f>
        <v>6.2732800000000006</v>
      </c>
      <c r="K16" s="580">
        <f>J16*Макро!K6</f>
        <v>6.5242112000000008</v>
      </c>
      <c r="L16" s="580">
        <f>K16*Макро!L6</f>
        <v>6.7851796480000006</v>
      </c>
      <c r="M16" s="580">
        <f>L16*Макро!M6</f>
        <v>7.0565868339200009</v>
      </c>
      <c r="N16" s="580">
        <f>M16*Макро!N6</f>
        <v>7.3388503072768012</v>
      </c>
      <c r="O16" s="580">
        <f>N16*Макро!O6</f>
        <v>7.6324043195678737</v>
      </c>
      <c r="P16" s="71"/>
      <c r="Q16" s="149"/>
      <c r="R16" s="71"/>
      <c r="S16" s="15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9"/>
    </row>
    <row r="17" spans="1:31" x14ac:dyDescent="0.25">
      <c r="A17" s="149"/>
      <c r="B17" s="592" t="s">
        <v>114</v>
      </c>
      <c r="C17" s="244" t="s">
        <v>115</v>
      </c>
      <c r="D17" s="248">
        <f>SUM(F17:O17)</f>
        <v>136100</v>
      </c>
      <c r="E17" s="71"/>
      <c r="F17" s="230"/>
      <c r="G17" s="230"/>
      <c r="H17" s="232">
        <v>6600</v>
      </c>
      <c r="I17" s="232">
        <v>18500</v>
      </c>
      <c r="J17" s="230">
        <f t="shared" ref="J17:O17" si="6">I17*J18</f>
        <v>18500</v>
      </c>
      <c r="K17" s="230">
        <f t="shared" si="6"/>
        <v>18500</v>
      </c>
      <c r="L17" s="230">
        <f t="shared" si="6"/>
        <v>18500</v>
      </c>
      <c r="M17" s="230">
        <f t="shared" si="6"/>
        <v>18500</v>
      </c>
      <c r="N17" s="230">
        <f t="shared" si="6"/>
        <v>18500</v>
      </c>
      <c r="O17" s="230">
        <f t="shared" si="6"/>
        <v>18500</v>
      </c>
      <c r="P17" s="71"/>
      <c r="Q17" s="71"/>
      <c r="R17" s="71"/>
      <c r="S17" s="15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49"/>
    </row>
    <row r="18" spans="1:31" ht="45" x14ac:dyDescent="0.25">
      <c r="A18" s="149"/>
      <c r="B18" s="592" t="s">
        <v>125</v>
      </c>
      <c r="C18" s="244" t="s">
        <v>116</v>
      </c>
      <c r="D18" s="248"/>
      <c r="E18" s="71"/>
      <c r="F18" s="231"/>
      <c r="G18" s="583"/>
      <c r="H18" s="231"/>
      <c r="I18" s="584">
        <v>1</v>
      </c>
      <c r="J18" s="586">
        <f t="shared" ref="J18:O18" si="7">I18</f>
        <v>1</v>
      </c>
      <c r="K18" s="586">
        <f t="shared" si="7"/>
        <v>1</v>
      </c>
      <c r="L18" s="586">
        <f t="shared" si="7"/>
        <v>1</v>
      </c>
      <c r="M18" s="586">
        <f t="shared" si="7"/>
        <v>1</v>
      </c>
      <c r="N18" s="586">
        <f t="shared" si="7"/>
        <v>1</v>
      </c>
      <c r="O18" s="586">
        <f t="shared" si="7"/>
        <v>1</v>
      </c>
      <c r="P18" s="71"/>
      <c r="Q18" s="149"/>
      <c r="R18" s="71"/>
      <c r="S18" s="159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9"/>
    </row>
    <row r="19" spans="1:31" x14ac:dyDescent="0.25">
      <c r="A19" s="149"/>
      <c r="B19" s="178"/>
      <c r="C19" s="149"/>
      <c r="D19" s="149"/>
      <c r="E19" s="71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71"/>
      <c r="Q19" s="149"/>
      <c r="R19" s="71"/>
      <c r="S19" s="159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9"/>
    </row>
    <row r="20" spans="1:31" x14ac:dyDescent="0.25">
      <c r="A20" s="558"/>
      <c r="B20" s="552" t="s">
        <v>211</v>
      </c>
      <c r="C20" s="552"/>
      <c r="D20" s="552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15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</row>
    <row r="21" spans="1:31" x14ac:dyDescent="0.25">
      <c r="A21" s="149"/>
      <c r="B21" s="591" t="s">
        <v>460</v>
      </c>
      <c r="C21" s="454" t="s">
        <v>19</v>
      </c>
      <c r="D21" s="246">
        <f>SUM(F21:O21)</f>
        <v>8464.2262601318434</v>
      </c>
      <c r="E21" s="71"/>
      <c r="F21" s="228">
        <f>F22*F23</f>
        <v>0</v>
      </c>
      <c r="G21" s="228">
        <f t="shared" ref="G21:O21" si="8">G22*G23</f>
        <v>0</v>
      </c>
      <c r="H21" s="228">
        <f t="shared" si="8"/>
        <v>250</v>
      </c>
      <c r="I21" s="228">
        <f t="shared" si="8"/>
        <v>1040</v>
      </c>
      <c r="J21" s="228">
        <f t="shared" si="8"/>
        <v>1081.6000000000001</v>
      </c>
      <c r="K21" s="228">
        <f t="shared" si="8"/>
        <v>1124.8640000000003</v>
      </c>
      <c r="L21" s="228">
        <f t="shared" si="8"/>
        <v>1169.8585600000004</v>
      </c>
      <c r="M21" s="228">
        <f t="shared" si="8"/>
        <v>1216.6529024000004</v>
      </c>
      <c r="N21" s="228">
        <f t="shared" si="8"/>
        <v>1265.3190184960006</v>
      </c>
      <c r="O21" s="228">
        <f t="shared" si="8"/>
        <v>1315.9317792358406</v>
      </c>
      <c r="P21" s="71"/>
      <c r="Q21" s="71"/>
      <c r="R21" s="71"/>
      <c r="S21" s="159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1" ht="30" x14ac:dyDescent="0.25">
      <c r="A22" s="149"/>
      <c r="B22" s="592" t="s">
        <v>142</v>
      </c>
      <c r="C22" s="244" t="s">
        <v>113</v>
      </c>
      <c r="D22" s="149"/>
      <c r="E22" s="71"/>
      <c r="F22" s="580"/>
      <c r="G22" s="580"/>
      <c r="H22" s="146">
        <v>5</v>
      </c>
      <c r="I22" s="580">
        <f>H22*Макро!I6</f>
        <v>5.2</v>
      </c>
      <c r="J22" s="580">
        <f>I22*Макро!J6</f>
        <v>5.4080000000000004</v>
      </c>
      <c r="K22" s="580">
        <f>J22*Макро!K6</f>
        <v>5.6243200000000009</v>
      </c>
      <c r="L22" s="580">
        <f>K22*Макро!L6</f>
        <v>5.8492928000000015</v>
      </c>
      <c r="M22" s="580">
        <f>L22*Макро!M6</f>
        <v>6.0832645120000022</v>
      </c>
      <c r="N22" s="580">
        <f>M22*Макро!N6</f>
        <v>6.3265950924800025</v>
      </c>
      <c r="O22" s="580">
        <f>N22*Макро!O6</f>
        <v>6.5796588961792031</v>
      </c>
      <c r="P22" s="71"/>
      <c r="Q22" s="149"/>
      <c r="R22" s="71"/>
      <c r="S22" s="159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49"/>
    </row>
    <row r="23" spans="1:31" x14ac:dyDescent="0.25">
      <c r="A23" s="149"/>
      <c r="B23" s="592" t="s">
        <v>121</v>
      </c>
      <c r="C23" s="244" t="s">
        <v>115</v>
      </c>
      <c r="D23" s="248">
        <f>SUM(F23:O23)</f>
        <v>1450</v>
      </c>
      <c r="E23" s="71"/>
      <c r="F23" s="230"/>
      <c r="G23" s="230"/>
      <c r="H23" s="232">
        <v>50</v>
      </c>
      <c r="I23" s="232">
        <v>200</v>
      </c>
      <c r="J23" s="230">
        <f t="shared" ref="J23:O23" si="9">I23*J24</f>
        <v>200</v>
      </c>
      <c r="K23" s="230">
        <f t="shared" si="9"/>
        <v>200</v>
      </c>
      <c r="L23" s="230">
        <f t="shared" si="9"/>
        <v>200</v>
      </c>
      <c r="M23" s="230">
        <f t="shared" si="9"/>
        <v>200</v>
      </c>
      <c r="N23" s="230">
        <f t="shared" si="9"/>
        <v>200</v>
      </c>
      <c r="O23" s="230">
        <f t="shared" si="9"/>
        <v>200</v>
      </c>
      <c r="P23" s="71"/>
      <c r="Q23" s="71"/>
      <c r="R23" s="71"/>
      <c r="S23" s="159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9"/>
    </row>
    <row r="24" spans="1:31" ht="45" x14ac:dyDescent="0.25">
      <c r="A24" s="149"/>
      <c r="B24" s="592" t="s">
        <v>124</v>
      </c>
      <c r="C24" s="244" t="s">
        <v>116</v>
      </c>
      <c r="D24" s="248"/>
      <c r="E24" s="71"/>
      <c r="F24" s="231"/>
      <c r="G24" s="583"/>
      <c r="H24" s="231"/>
      <c r="I24" s="584">
        <v>1</v>
      </c>
      <c r="J24" s="586">
        <f t="shared" ref="J24:O24" si="10">I24</f>
        <v>1</v>
      </c>
      <c r="K24" s="586">
        <f t="shared" si="10"/>
        <v>1</v>
      </c>
      <c r="L24" s="586">
        <f t="shared" si="10"/>
        <v>1</v>
      </c>
      <c r="M24" s="586">
        <f t="shared" si="10"/>
        <v>1</v>
      </c>
      <c r="N24" s="586">
        <f t="shared" si="10"/>
        <v>1</v>
      </c>
      <c r="O24" s="586">
        <f t="shared" si="10"/>
        <v>1</v>
      </c>
      <c r="P24" s="71"/>
      <c r="Q24" s="149"/>
      <c r="R24" s="71"/>
      <c r="S24" s="159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9"/>
    </row>
    <row r="25" spans="1:31" x14ac:dyDescent="0.25">
      <c r="A25" s="149"/>
      <c r="B25" s="178"/>
      <c r="C25" s="149"/>
      <c r="D25" s="149"/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  <c r="Q25" s="149"/>
      <c r="R25" s="71"/>
      <c r="S25" s="159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9"/>
    </row>
    <row r="26" spans="1:31" x14ac:dyDescent="0.25">
      <c r="A26" s="558"/>
      <c r="B26" s="552" t="s">
        <v>212</v>
      </c>
      <c r="C26" s="552"/>
      <c r="D26" s="552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5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</row>
    <row r="27" spans="1:31" x14ac:dyDescent="0.25">
      <c r="A27" s="149"/>
      <c r="B27" s="591" t="s">
        <v>460</v>
      </c>
      <c r="C27" s="454" t="s">
        <v>19</v>
      </c>
      <c r="D27" s="246">
        <f>SUM(F27:O27)</f>
        <v>1642.8452520263686</v>
      </c>
      <c r="E27" s="71"/>
      <c r="F27" s="228">
        <f>F28*F29</f>
        <v>0</v>
      </c>
      <c r="G27" s="228">
        <f t="shared" ref="G27:O27" si="11">G28*G29</f>
        <v>0</v>
      </c>
      <c r="H27" s="228">
        <f t="shared" si="11"/>
        <v>0</v>
      </c>
      <c r="I27" s="228">
        <f t="shared" si="11"/>
        <v>208</v>
      </c>
      <c r="J27" s="228">
        <f t="shared" si="11"/>
        <v>216.32000000000002</v>
      </c>
      <c r="K27" s="228">
        <f t="shared" si="11"/>
        <v>224.97280000000003</v>
      </c>
      <c r="L27" s="228">
        <f t="shared" si="11"/>
        <v>233.97171200000005</v>
      </c>
      <c r="M27" s="228">
        <f t="shared" si="11"/>
        <v>243.33058048000009</v>
      </c>
      <c r="N27" s="228">
        <f t="shared" si="11"/>
        <v>253.06380369920009</v>
      </c>
      <c r="O27" s="228">
        <f t="shared" si="11"/>
        <v>263.1863558471681</v>
      </c>
      <c r="P27" s="71"/>
      <c r="Q27" s="71"/>
      <c r="R27" s="71"/>
      <c r="S27" s="159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</row>
    <row r="28" spans="1:31" ht="30" x14ac:dyDescent="0.25">
      <c r="A28" s="149"/>
      <c r="B28" s="592" t="s">
        <v>466</v>
      </c>
      <c r="C28" s="244" t="s">
        <v>113</v>
      </c>
      <c r="D28" s="242" t="s">
        <v>134</v>
      </c>
      <c r="E28" s="71"/>
      <c r="F28" s="580"/>
      <c r="G28" s="580"/>
      <c r="H28" s="146">
        <v>10</v>
      </c>
      <c r="I28" s="580">
        <f>H28*Макро!I6</f>
        <v>10.4</v>
      </c>
      <c r="J28" s="580">
        <f>I28*Макро!J6</f>
        <v>10.816000000000001</v>
      </c>
      <c r="K28" s="580">
        <f>J28*Макро!K6</f>
        <v>11.248640000000002</v>
      </c>
      <c r="L28" s="580">
        <f>K28*Макро!L6</f>
        <v>11.698585600000003</v>
      </c>
      <c r="M28" s="580">
        <f>L28*Макро!M6</f>
        <v>12.166529024000004</v>
      </c>
      <c r="N28" s="580">
        <f>M28*Макро!N6</f>
        <v>12.653190184960005</v>
      </c>
      <c r="O28" s="580">
        <f>N28*Макро!O6</f>
        <v>13.159317792358406</v>
      </c>
      <c r="P28" s="71"/>
      <c r="Q28" s="149"/>
      <c r="R28" s="71"/>
      <c r="S28" s="159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49"/>
    </row>
    <row r="29" spans="1:31" x14ac:dyDescent="0.25">
      <c r="A29" s="149"/>
      <c r="B29" s="592" t="s">
        <v>122</v>
      </c>
      <c r="C29" s="244" t="s">
        <v>115</v>
      </c>
      <c r="D29" s="248">
        <f>SUM(F29:O29)</f>
        <v>140</v>
      </c>
      <c r="E29" s="71"/>
      <c r="F29" s="230"/>
      <c r="G29" s="230"/>
      <c r="H29" s="232">
        <v>0</v>
      </c>
      <c r="I29" s="232">
        <v>20</v>
      </c>
      <c r="J29" s="230">
        <f t="shared" ref="J29:O29" si="12">I29*J30</f>
        <v>20</v>
      </c>
      <c r="K29" s="230">
        <f t="shared" si="12"/>
        <v>20</v>
      </c>
      <c r="L29" s="230">
        <f t="shared" si="12"/>
        <v>20</v>
      </c>
      <c r="M29" s="230">
        <f t="shared" si="12"/>
        <v>20</v>
      </c>
      <c r="N29" s="230">
        <f t="shared" si="12"/>
        <v>20</v>
      </c>
      <c r="O29" s="230">
        <f t="shared" si="12"/>
        <v>20</v>
      </c>
      <c r="P29" s="71"/>
      <c r="Q29" s="71"/>
      <c r="R29" s="71"/>
      <c r="S29" s="15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49"/>
    </row>
    <row r="30" spans="1:31" ht="45" x14ac:dyDescent="0.25">
      <c r="A30" s="149"/>
      <c r="B30" s="592" t="s">
        <v>123</v>
      </c>
      <c r="C30" s="244" t="s">
        <v>116</v>
      </c>
      <c r="D30" s="248"/>
      <c r="E30" s="71"/>
      <c r="F30" s="231"/>
      <c r="G30" s="583"/>
      <c r="H30" s="231"/>
      <c r="I30" s="584">
        <v>1</v>
      </c>
      <c r="J30" s="586">
        <f t="shared" ref="J30:O30" si="13">I30</f>
        <v>1</v>
      </c>
      <c r="K30" s="586">
        <f t="shared" si="13"/>
        <v>1</v>
      </c>
      <c r="L30" s="586">
        <f t="shared" si="13"/>
        <v>1</v>
      </c>
      <c r="M30" s="586">
        <f t="shared" si="13"/>
        <v>1</v>
      </c>
      <c r="N30" s="586">
        <f t="shared" si="13"/>
        <v>1</v>
      </c>
      <c r="O30" s="586">
        <f t="shared" si="13"/>
        <v>1</v>
      </c>
      <c r="P30" s="71"/>
      <c r="Q30" s="149"/>
      <c r="R30" s="71"/>
      <c r="S30" s="159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49"/>
    </row>
    <row r="31" spans="1:31" x14ac:dyDescent="0.25">
      <c r="A31" s="149"/>
      <c r="B31" s="178"/>
      <c r="C31" s="149"/>
      <c r="D31" s="149"/>
      <c r="E31" s="71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71"/>
      <c r="Q31" s="149"/>
      <c r="R31" s="71"/>
      <c r="S31" s="159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49"/>
    </row>
    <row r="32" spans="1:31" x14ac:dyDescent="0.25">
      <c r="A32" s="558"/>
      <c r="B32" s="552" t="s">
        <v>213</v>
      </c>
      <c r="C32" s="552"/>
      <c r="D32" s="552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5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</row>
    <row r="33" spans="1:31" x14ac:dyDescent="0.25">
      <c r="A33" s="149"/>
      <c r="B33" s="591" t="s">
        <v>460</v>
      </c>
      <c r="C33" s="454" t="s">
        <v>19</v>
      </c>
      <c r="D33" s="246">
        <f>SUM(F33:O33)</f>
        <v>0</v>
      </c>
      <c r="E33" s="71"/>
      <c r="F33" s="228">
        <f>F34*F35</f>
        <v>0</v>
      </c>
      <c r="G33" s="228">
        <f t="shared" ref="G33:O33" si="14">G34*G35</f>
        <v>0</v>
      </c>
      <c r="H33" s="228">
        <f t="shared" si="14"/>
        <v>0</v>
      </c>
      <c r="I33" s="228">
        <f t="shared" si="14"/>
        <v>0</v>
      </c>
      <c r="J33" s="228">
        <f t="shared" si="14"/>
        <v>0</v>
      </c>
      <c r="K33" s="228">
        <f t="shared" si="14"/>
        <v>0</v>
      </c>
      <c r="L33" s="228">
        <f t="shared" si="14"/>
        <v>0</v>
      </c>
      <c r="M33" s="228">
        <f t="shared" si="14"/>
        <v>0</v>
      </c>
      <c r="N33" s="228">
        <f t="shared" si="14"/>
        <v>0</v>
      </c>
      <c r="O33" s="228">
        <f t="shared" si="14"/>
        <v>0</v>
      </c>
      <c r="P33" s="71"/>
      <c r="Q33" s="71"/>
      <c r="R33" s="71"/>
      <c r="S33" s="15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</row>
    <row r="34" spans="1:31" ht="30" x14ac:dyDescent="0.25">
      <c r="A34" s="149"/>
      <c r="B34" s="592" t="s">
        <v>453</v>
      </c>
      <c r="C34" s="244" t="s">
        <v>113</v>
      </c>
      <c r="D34" s="242" t="s">
        <v>134</v>
      </c>
      <c r="E34" s="71"/>
      <c r="F34" s="580"/>
      <c r="G34" s="580"/>
      <c r="H34" s="146">
        <v>0</v>
      </c>
      <c r="I34" s="580">
        <f>H34*Макро!I6</f>
        <v>0</v>
      </c>
      <c r="J34" s="580">
        <f>I34*Макро!J6</f>
        <v>0</v>
      </c>
      <c r="K34" s="580">
        <f>J34*Макро!K6</f>
        <v>0</v>
      </c>
      <c r="L34" s="580">
        <f>K34*Макро!L6</f>
        <v>0</v>
      </c>
      <c r="M34" s="580">
        <f>L34*Макро!M6</f>
        <v>0</v>
      </c>
      <c r="N34" s="580">
        <f>M34*Макро!N6</f>
        <v>0</v>
      </c>
      <c r="O34" s="580">
        <f>N34*Макро!O6</f>
        <v>0</v>
      </c>
      <c r="P34" s="71"/>
      <c r="Q34" s="149"/>
      <c r="R34" s="71"/>
      <c r="S34" s="159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49"/>
    </row>
    <row r="35" spans="1:31" x14ac:dyDescent="0.25">
      <c r="A35" s="149"/>
      <c r="B35" s="592" t="s">
        <v>122</v>
      </c>
      <c r="C35" s="244" t="s">
        <v>115</v>
      </c>
      <c r="D35" s="248">
        <f>SUM(F35:O35)</f>
        <v>0</v>
      </c>
      <c r="E35" s="71"/>
      <c r="F35" s="230"/>
      <c r="G35" s="230"/>
      <c r="H35" s="232">
        <v>0</v>
      </c>
      <c r="I35" s="232">
        <v>0</v>
      </c>
      <c r="J35" s="230">
        <f t="shared" ref="J35:O35" si="15">I35*J36</f>
        <v>0</v>
      </c>
      <c r="K35" s="230">
        <f t="shared" si="15"/>
        <v>0</v>
      </c>
      <c r="L35" s="230">
        <f t="shared" si="15"/>
        <v>0</v>
      </c>
      <c r="M35" s="230">
        <f t="shared" si="15"/>
        <v>0</v>
      </c>
      <c r="N35" s="230">
        <f t="shared" si="15"/>
        <v>0</v>
      </c>
      <c r="O35" s="230">
        <f t="shared" si="15"/>
        <v>0</v>
      </c>
      <c r="P35" s="71"/>
      <c r="Q35" s="71"/>
      <c r="R35" s="71"/>
      <c r="S35" s="159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49"/>
    </row>
    <row r="36" spans="1:31" ht="45" x14ac:dyDescent="0.25">
      <c r="A36" s="149"/>
      <c r="B36" s="592" t="s">
        <v>454</v>
      </c>
      <c r="C36" s="244" t="s">
        <v>116</v>
      </c>
      <c r="D36" s="248"/>
      <c r="E36" s="71"/>
      <c r="F36" s="231"/>
      <c r="G36" s="583"/>
      <c r="H36" s="231"/>
      <c r="I36" s="584">
        <v>1</v>
      </c>
      <c r="J36" s="586">
        <f t="shared" ref="J36:O36" si="16">I36</f>
        <v>1</v>
      </c>
      <c r="K36" s="586">
        <f t="shared" si="16"/>
        <v>1</v>
      </c>
      <c r="L36" s="586">
        <f t="shared" si="16"/>
        <v>1</v>
      </c>
      <c r="M36" s="586">
        <f t="shared" si="16"/>
        <v>1</v>
      </c>
      <c r="N36" s="586">
        <f t="shared" si="16"/>
        <v>1</v>
      </c>
      <c r="O36" s="586">
        <f t="shared" si="16"/>
        <v>1</v>
      </c>
      <c r="P36" s="71"/>
      <c r="Q36" s="149"/>
      <c r="R36" s="71"/>
      <c r="S36" s="159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9"/>
    </row>
    <row r="37" spans="1:31" x14ac:dyDescent="0.25">
      <c r="A37" s="149"/>
      <c r="B37" s="178"/>
      <c r="C37" s="149"/>
      <c r="D37" s="149"/>
      <c r="E37" s="71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71"/>
      <c r="Q37" s="149"/>
      <c r="R37" s="71"/>
      <c r="S37" s="15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49"/>
    </row>
    <row r="38" spans="1:31" x14ac:dyDescent="0.25">
      <c r="A38" s="558"/>
      <c r="B38" s="552" t="s">
        <v>214</v>
      </c>
      <c r="C38" s="552"/>
      <c r="D38" s="552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59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</row>
    <row r="39" spans="1:31" x14ac:dyDescent="0.25">
      <c r="A39" s="149"/>
      <c r="B39" s="591" t="s">
        <v>460</v>
      </c>
      <c r="C39" s="454" t="s">
        <v>19</v>
      </c>
      <c r="D39" s="246">
        <f>SUM(F39:O39)</f>
        <v>0</v>
      </c>
      <c r="E39" s="71"/>
      <c r="F39" s="228">
        <f>F40*F41</f>
        <v>0</v>
      </c>
      <c r="G39" s="228">
        <f t="shared" ref="G39:O39" si="17">G40*G41</f>
        <v>0</v>
      </c>
      <c r="H39" s="228">
        <f t="shared" si="17"/>
        <v>0</v>
      </c>
      <c r="I39" s="228">
        <f t="shared" si="17"/>
        <v>0</v>
      </c>
      <c r="J39" s="228">
        <f t="shared" si="17"/>
        <v>0</v>
      </c>
      <c r="K39" s="228">
        <f t="shared" si="17"/>
        <v>0</v>
      </c>
      <c r="L39" s="228">
        <f t="shared" si="17"/>
        <v>0</v>
      </c>
      <c r="M39" s="228">
        <f t="shared" si="17"/>
        <v>0</v>
      </c>
      <c r="N39" s="228">
        <f t="shared" si="17"/>
        <v>0</v>
      </c>
      <c r="O39" s="228">
        <f t="shared" si="17"/>
        <v>0</v>
      </c>
      <c r="P39" s="71"/>
      <c r="Q39" s="71"/>
      <c r="R39" s="71"/>
      <c r="S39" s="159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</row>
    <row r="40" spans="1:31" ht="30" x14ac:dyDescent="0.25">
      <c r="A40" s="149"/>
      <c r="B40" s="592" t="s">
        <v>453</v>
      </c>
      <c r="C40" s="244" t="s">
        <v>113</v>
      </c>
      <c r="D40" s="242" t="s">
        <v>134</v>
      </c>
      <c r="E40" s="71"/>
      <c r="F40" s="580"/>
      <c r="G40" s="580"/>
      <c r="H40" s="146">
        <v>0</v>
      </c>
      <c r="I40" s="580">
        <f>H40*Макро!I6</f>
        <v>0</v>
      </c>
      <c r="J40" s="580">
        <f>I40*Макро!J6</f>
        <v>0</v>
      </c>
      <c r="K40" s="580">
        <f>J40*Макро!K6</f>
        <v>0</v>
      </c>
      <c r="L40" s="580">
        <f>K40*Макро!L6</f>
        <v>0</v>
      </c>
      <c r="M40" s="580">
        <f>L40*Макро!M6</f>
        <v>0</v>
      </c>
      <c r="N40" s="580">
        <f>M40*Макро!N6</f>
        <v>0</v>
      </c>
      <c r="O40" s="580">
        <f>N40*Макро!O6</f>
        <v>0</v>
      </c>
      <c r="P40" s="71"/>
      <c r="Q40" s="149"/>
      <c r="R40" s="71"/>
      <c r="S40" s="159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9"/>
    </row>
    <row r="41" spans="1:31" x14ac:dyDescent="0.25">
      <c r="A41" s="149"/>
      <c r="B41" s="592" t="s">
        <v>122</v>
      </c>
      <c r="C41" s="244" t="s">
        <v>115</v>
      </c>
      <c r="D41" s="248">
        <f>SUM(F41:O41)</f>
        <v>0</v>
      </c>
      <c r="E41" s="71"/>
      <c r="F41" s="230"/>
      <c r="G41" s="230"/>
      <c r="H41" s="232">
        <v>0</v>
      </c>
      <c r="I41" s="232">
        <v>0</v>
      </c>
      <c r="J41" s="230">
        <f t="shared" ref="J41:O41" si="18">I41*J42</f>
        <v>0</v>
      </c>
      <c r="K41" s="230">
        <f t="shared" si="18"/>
        <v>0</v>
      </c>
      <c r="L41" s="230">
        <f t="shared" si="18"/>
        <v>0</v>
      </c>
      <c r="M41" s="230">
        <f t="shared" si="18"/>
        <v>0</v>
      </c>
      <c r="N41" s="230">
        <f t="shared" si="18"/>
        <v>0</v>
      </c>
      <c r="O41" s="230">
        <f t="shared" si="18"/>
        <v>0</v>
      </c>
      <c r="P41" s="71"/>
      <c r="Q41" s="71"/>
      <c r="R41" s="71"/>
      <c r="S41" s="159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9"/>
    </row>
    <row r="42" spans="1:31" ht="45" x14ac:dyDescent="0.25">
      <c r="A42" s="149"/>
      <c r="B42" s="592" t="s">
        <v>454</v>
      </c>
      <c r="C42" s="244" t="s">
        <v>116</v>
      </c>
      <c r="D42" s="248"/>
      <c r="E42" s="71"/>
      <c r="F42" s="231"/>
      <c r="G42" s="583"/>
      <c r="H42" s="231"/>
      <c r="I42" s="584">
        <v>1</v>
      </c>
      <c r="J42" s="586">
        <f t="shared" ref="J42:O42" si="19">I42</f>
        <v>1</v>
      </c>
      <c r="K42" s="586">
        <f t="shared" si="19"/>
        <v>1</v>
      </c>
      <c r="L42" s="586">
        <f t="shared" si="19"/>
        <v>1</v>
      </c>
      <c r="M42" s="586">
        <f t="shared" si="19"/>
        <v>1</v>
      </c>
      <c r="N42" s="586">
        <f t="shared" si="19"/>
        <v>1</v>
      </c>
      <c r="O42" s="586">
        <f t="shared" si="19"/>
        <v>1</v>
      </c>
      <c r="P42" s="71"/>
      <c r="Q42" s="149"/>
      <c r="R42" s="71"/>
      <c r="S42" s="159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9"/>
    </row>
    <row r="43" spans="1:31" x14ac:dyDescent="0.25">
      <c r="A43" s="149"/>
      <c r="B43" s="178"/>
      <c r="C43" s="149"/>
      <c r="D43" s="149"/>
      <c r="E43" s="71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71"/>
      <c r="Q43" s="149"/>
      <c r="R43" s="71"/>
      <c r="S43" s="159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9"/>
    </row>
    <row r="44" spans="1:31" x14ac:dyDescent="0.25">
      <c r="A44" s="149"/>
      <c r="B44" s="178"/>
      <c r="C44" s="149"/>
      <c r="D44" s="149"/>
      <c r="E44" s="71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71"/>
      <c r="Q44" s="149"/>
      <c r="R44" s="71"/>
      <c r="S44" s="159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9"/>
    </row>
    <row r="45" spans="1:31" x14ac:dyDescent="0.25">
      <c r="A45" s="149"/>
      <c r="B45" s="178"/>
      <c r="C45" s="149"/>
      <c r="D45" s="149"/>
      <c r="E45" s="71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71"/>
      <c r="Q45" s="149"/>
      <c r="R45" s="71"/>
      <c r="S45" s="159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49"/>
    </row>
    <row r="46" spans="1:31" x14ac:dyDescent="0.25">
      <c r="A46" s="149"/>
      <c r="B46" s="178"/>
      <c r="C46" s="149"/>
      <c r="D46" s="149"/>
      <c r="E46" s="71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71"/>
      <c r="Q46" s="149"/>
      <c r="R46" s="71"/>
      <c r="S46" s="15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49"/>
    </row>
    <row r="47" spans="1:31" x14ac:dyDescent="0.25">
      <c r="A47" s="149"/>
      <c r="B47" s="178"/>
      <c r="C47" s="149"/>
      <c r="D47" s="149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71"/>
      <c r="Q47" s="149"/>
      <c r="R47" s="71"/>
      <c r="S47" s="159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49"/>
    </row>
    <row r="48" spans="1:31" x14ac:dyDescent="0.25">
      <c r="A48" s="149"/>
      <c r="B48" s="178"/>
      <c r="C48" s="149"/>
      <c r="D48" s="149"/>
      <c r="E48" s="71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71"/>
      <c r="Q48" s="149"/>
      <c r="R48" s="71"/>
      <c r="S48" s="159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49"/>
    </row>
    <row r="49" spans="1:31" ht="15.75" thickBot="1" x14ac:dyDescent="0.3">
      <c r="A49" s="132"/>
      <c r="B49" s="179"/>
      <c r="C49" s="192"/>
      <c r="D49" s="132"/>
      <c r="E49" s="71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71"/>
      <c r="Q49" s="132"/>
      <c r="R49" s="71"/>
      <c r="S49" s="159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132"/>
    </row>
    <row r="52" spans="1:31" x14ac:dyDescent="0.25">
      <c r="A52" s="71"/>
      <c r="B52" s="593" t="s">
        <v>622</v>
      </c>
      <c r="C52" s="71"/>
      <c r="D52" s="597">
        <f t="shared" ref="D52:D57" si="20">SUM(F52:O52)</f>
        <v>929.78</v>
      </c>
      <c r="E52" s="71"/>
      <c r="F52" s="581">
        <f>SUM(F53:F57)</f>
        <v>0</v>
      </c>
      <c r="G52" s="581">
        <f t="shared" ref="G52:O52" si="21">SUM(G53:G57)</f>
        <v>0</v>
      </c>
      <c r="H52" s="581">
        <f t="shared" si="21"/>
        <v>38.53</v>
      </c>
      <c r="I52" s="581">
        <f t="shared" si="21"/>
        <v>112.84</v>
      </c>
      <c r="J52" s="581">
        <f t="shared" si="21"/>
        <v>117.36</v>
      </c>
      <c r="K52" s="581">
        <f t="shared" si="21"/>
        <v>122.04</v>
      </c>
      <c r="L52" s="581">
        <f t="shared" si="21"/>
        <v>126.93</v>
      </c>
      <c r="M52" s="581">
        <f t="shared" si="21"/>
        <v>132.01000000000002</v>
      </c>
      <c r="N52" s="581">
        <f t="shared" si="21"/>
        <v>137.29000000000002</v>
      </c>
      <c r="O52" s="581">
        <f t="shared" si="21"/>
        <v>142.77999999999997</v>
      </c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</row>
    <row r="53" spans="1:31" x14ac:dyDescent="0.25">
      <c r="A53" s="71"/>
      <c r="B53" s="593" t="s">
        <v>210</v>
      </c>
      <c r="C53" s="454" t="s">
        <v>327</v>
      </c>
      <c r="D53" s="597">
        <f t="shared" si="20"/>
        <v>919.68000000000006</v>
      </c>
      <c r="E53" s="71"/>
      <c r="F53" s="582">
        <f>ROUND(F15/1000,2)</f>
        <v>0</v>
      </c>
      <c r="G53" s="582">
        <f t="shared" ref="G53:O53" si="22">ROUND(G15/1000,2)</f>
        <v>0</v>
      </c>
      <c r="H53" s="582">
        <f t="shared" si="22"/>
        <v>38.28</v>
      </c>
      <c r="I53" s="582">
        <f t="shared" si="22"/>
        <v>111.59</v>
      </c>
      <c r="J53" s="582">
        <f t="shared" si="22"/>
        <v>116.06</v>
      </c>
      <c r="K53" s="582">
        <f t="shared" si="22"/>
        <v>120.7</v>
      </c>
      <c r="L53" s="582">
        <f t="shared" si="22"/>
        <v>125.53</v>
      </c>
      <c r="M53" s="582">
        <f t="shared" si="22"/>
        <v>130.55000000000001</v>
      </c>
      <c r="N53" s="582">
        <f t="shared" si="22"/>
        <v>135.77000000000001</v>
      </c>
      <c r="O53" s="582">
        <f t="shared" si="22"/>
        <v>141.19999999999999</v>
      </c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</row>
    <row r="54" spans="1:31" x14ac:dyDescent="0.25">
      <c r="A54" s="71"/>
      <c r="B54" s="593" t="s">
        <v>211</v>
      </c>
      <c r="C54" s="454" t="s">
        <v>327</v>
      </c>
      <c r="D54" s="597">
        <f t="shared" si="20"/>
        <v>8.4700000000000006</v>
      </c>
      <c r="E54" s="71"/>
      <c r="F54" s="582">
        <f>ROUND(F21/1000,2)</f>
        <v>0</v>
      </c>
      <c r="G54" s="582">
        <f t="shared" ref="G54:O54" si="23">ROUND(G21/1000,2)</f>
        <v>0</v>
      </c>
      <c r="H54" s="582">
        <f t="shared" si="23"/>
        <v>0.25</v>
      </c>
      <c r="I54" s="582">
        <f t="shared" si="23"/>
        <v>1.04</v>
      </c>
      <c r="J54" s="582">
        <f t="shared" si="23"/>
        <v>1.08</v>
      </c>
      <c r="K54" s="582">
        <f t="shared" si="23"/>
        <v>1.1200000000000001</v>
      </c>
      <c r="L54" s="582">
        <f t="shared" si="23"/>
        <v>1.17</v>
      </c>
      <c r="M54" s="582">
        <f t="shared" si="23"/>
        <v>1.22</v>
      </c>
      <c r="N54" s="582">
        <f t="shared" si="23"/>
        <v>1.27</v>
      </c>
      <c r="O54" s="582">
        <f t="shared" si="23"/>
        <v>1.32</v>
      </c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</row>
    <row r="55" spans="1:31" x14ac:dyDescent="0.25">
      <c r="A55" s="71"/>
      <c r="B55" s="593" t="s">
        <v>212</v>
      </c>
      <c r="C55" s="454" t="s">
        <v>327</v>
      </c>
      <c r="D55" s="597">
        <f t="shared" si="20"/>
        <v>1.6300000000000001</v>
      </c>
      <c r="E55" s="71"/>
      <c r="F55" s="582">
        <f>ROUND(F27/1000,2)</f>
        <v>0</v>
      </c>
      <c r="G55" s="582">
        <f t="shared" ref="G55:O55" si="24">ROUND(G27/1000,2)</f>
        <v>0</v>
      </c>
      <c r="H55" s="582">
        <f t="shared" si="24"/>
        <v>0</v>
      </c>
      <c r="I55" s="582">
        <f t="shared" si="24"/>
        <v>0.21</v>
      </c>
      <c r="J55" s="582">
        <f t="shared" si="24"/>
        <v>0.22</v>
      </c>
      <c r="K55" s="582">
        <f t="shared" si="24"/>
        <v>0.22</v>
      </c>
      <c r="L55" s="582">
        <f t="shared" si="24"/>
        <v>0.23</v>
      </c>
      <c r="M55" s="582">
        <f t="shared" si="24"/>
        <v>0.24</v>
      </c>
      <c r="N55" s="582">
        <f t="shared" si="24"/>
        <v>0.25</v>
      </c>
      <c r="O55" s="582">
        <f t="shared" si="24"/>
        <v>0.26</v>
      </c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</row>
    <row r="56" spans="1:31" x14ac:dyDescent="0.25">
      <c r="A56" s="71"/>
      <c r="B56" s="593" t="s">
        <v>213</v>
      </c>
      <c r="C56" s="454" t="s">
        <v>327</v>
      </c>
      <c r="D56" s="597">
        <f t="shared" si="20"/>
        <v>0</v>
      </c>
      <c r="E56" s="71"/>
      <c r="F56" s="582">
        <f>ROUND(F33/1000,2)</f>
        <v>0</v>
      </c>
      <c r="G56" s="582">
        <f t="shared" ref="G56:O56" si="25">ROUND(G33/1000,2)</f>
        <v>0</v>
      </c>
      <c r="H56" s="582">
        <f t="shared" si="25"/>
        <v>0</v>
      </c>
      <c r="I56" s="582">
        <f t="shared" si="25"/>
        <v>0</v>
      </c>
      <c r="J56" s="582">
        <f t="shared" si="25"/>
        <v>0</v>
      </c>
      <c r="K56" s="582">
        <f t="shared" si="25"/>
        <v>0</v>
      </c>
      <c r="L56" s="582">
        <f t="shared" si="25"/>
        <v>0</v>
      </c>
      <c r="M56" s="582">
        <f t="shared" si="25"/>
        <v>0</v>
      </c>
      <c r="N56" s="582">
        <f t="shared" si="25"/>
        <v>0</v>
      </c>
      <c r="O56" s="582">
        <f t="shared" si="25"/>
        <v>0</v>
      </c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</row>
    <row r="57" spans="1:31" x14ac:dyDescent="0.25">
      <c r="A57" s="71"/>
      <c r="B57" s="593" t="s">
        <v>214</v>
      </c>
      <c r="C57" s="454" t="s">
        <v>327</v>
      </c>
      <c r="D57" s="597">
        <f t="shared" si="20"/>
        <v>0</v>
      </c>
      <c r="E57" s="71"/>
      <c r="F57" s="582">
        <f>ROUND(F39/1000,2)</f>
        <v>0</v>
      </c>
      <c r="G57" s="582">
        <f t="shared" ref="G57:O57" si="26">ROUND(G39/1000,2)</f>
        <v>0</v>
      </c>
      <c r="H57" s="582">
        <f t="shared" si="26"/>
        <v>0</v>
      </c>
      <c r="I57" s="582">
        <f t="shared" si="26"/>
        <v>0</v>
      </c>
      <c r="J57" s="582">
        <f t="shared" si="26"/>
        <v>0</v>
      </c>
      <c r="K57" s="582">
        <f t="shared" si="26"/>
        <v>0</v>
      </c>
      <c r="L57" s="582">
        <f t="shared" si="26"/>
        <v>0</v>
      </c>
      <c r="M57" s="582">
        <f t="shared" si="26"/>
        <v>0</v>
      </c>
      <c r="N57" s="582">
        <f t="shared" si="26"/>
        <v>0</v>
      </c>
      <c r="O57" s="582">
        <f t="shared" si="26"/>
        <v>0</v>
      </c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</row>
    <row r="59" spans="1:31" x14ac:dyDescent="0.25">
      <c r="A59" s="71"/>
      <c r="B59" s="594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</row>
    <row r="60" spans="1:31" x14ac:dyDescent="0.25">
      <c r="A60" s="71"/>
      <c r="B60" s="169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2" spans="1:31" x14ac:dyDescent="0.25">
      <c r="A62" s="71"/>
      <c r="B62" s="174" t="str" cm="1">
        <f t="array" aca="1" ref="B62" ca="1">HYPERLINK(CELL("адрес",БДР!$A$1),"Перейти на лист БДР")</f>
        <v>Перейти на лист БДР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</row>
    <row r="63" spans="1:31" x14ac:dyDescent="0.25">
      <c r="A63" s="71"/>
      <c r="B63" s="174" t="str" cm="1">
        <f t="array" aca="1" ref="B63" ca="1">HYPERLINK(CELL("адрес",БДДС!$A$1),"Перейти на лист БДДС")</f>
        <v>Перейти на лист БДДС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 x14ac:dyDescent="0.25">
      <c r="A64" s="71"/>
      <c r="B64" s="174" t="str" cm="1">
        <f t="array" aca="1" ref="B64" ca="1">HYPERLINK(CELL("адрес",Баланс!$A$1),"Перейти на лист Баланс")</f>
        <v>Перейти на лист Баланс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2:2" x14ac:dyDescent="0.25">
      <c r="B65" s="174" t="str" cm="1">
        <f t="array" aca="1" ref="B65" ca="1">HYPERLINK(CELL("адрес",Дашборд_ИтогТабл!$A$1),"Перейти на лист Дашборд_1")</f>
        <v>Перейти на лист Дашборд_1</v>
      </c>
    </row>
    <row r="66" spans="2:2" ht="30" x14ac:dyDescent="0.25">
      <c r="B66" s="174" t="str" cm="1">
        <f t="array" aca="1" ref="B66" ca="1">HYPERLINK(CELL("адрес",Дашборд_Основной!$A$1),"Перейти на лист Дашборд_Общий")</f>
        <v>Перейти на лист Дашборд_Общий</v>
      </c>
    </row>
    <row r="67" spans="2:2" ht="30" x14ac:dyDescent="0.25">
      <c r="B67" s="174" t="str" cm="1">
        <f t="array" aca="1" ref="B67" ca="1">HYPERLINK(CELL("адрес",Дашборд_налоги!$A$1),"Перейти на лист Дашборд_Налоги")</f>
        <v>Перейти на лист Дашборд_Налоги</v>
      </c>
    </row>
  </sheetData>
  <hyperlinks>
    <hyperlink ref="A16" location="'Исходные данные'!A6" display="источник" xr:uid="{AB399E75-32CB-4603-A76F-1FE421E4D7D6}"/>
    <hyperlink ref="A22" location="'Исходные данные'!A6" display="источник" xr:uid="{A71C37D9-2411-4300-89AB-472F386C0532}"/>
    <hyperlink ref="A28" location="'Исходные данные'!A6" display="источник" xr:uid="{4F53D183-79C5-4E7D-8926-55CF308B33CC}"/>
    <hyperlink ref="A34" location="'Исходные данные'!A6" display="источник" xr:uid="{F71C6FFC-8170-4797-A352-ECF2742C5E37}"/>
    <hyperlink ref="A40" location="'Исходные данные'!A6" display="источник" xr:uid="{02CA26D1-0CAB-40A8-9289-11D0697F1D38}"/>
    <hyperlink ref="I1" location="Контроль!A1" display="Контроль!A1" xr:uid="{53ACD787-9624-484F-9E32-1AAFD0EBB6FA}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A85267DB-5B01-4731-AD33-FEF1692A42D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Выручка!F28:O28</xm:f>
              <xm:sqref>Q28</xm:sqref>
            </x14:sparkline>
          </x14:sparklines>
        </x14:sparklineGroup>
        <x14:sparklineGroup manualMax="0" manualMin="0" displayEmptyCellsAs="gap" xr2:uid="{C32EFC50-1C23-46A1-8715-7CDB8DFFED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Выручка!F22:O22</xm:f>
              <xm:sqref>Q22</xm:sqref>
            </x14:sparkline>
          </x14:sparklines>
        </x14:sparklineGroup>
        <x14:sparklineGroup manualMax="0" manualMin="0" displayEmptyCellsAs="gap" xr2:uid="{75E34B94-BC58-4F0A-BEF6-1B5DC2F87BC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Выручка!F16:O16</xm:f>
              <xm:sqref>Q16</xm:sqref>
            </x14:sparkline>
          </x14:sparklines>
        </x14:sparklineGroup>
        <x14:sparklineGroup manualMax="0" manualMin="0" displayEmptyCellsAs="gap" xr2:uid="{45BE4102-59E0-4C20-ABBF-AD0E1DA852B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Выручка!F39:O39</xm:f>
              <xm:sqref>Q39</xm:sqref>
            </x14:sparkline>
          </x14:sparklines>
        </x14:sparklineGroup>
        <x14:sparklineGroup manualMax="0" manualMin="0" displayEmptyCellsAs="gap" xr2:uid="{0A357C8A-4E40-45C8-B924-16F68287B9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Выручка!F40:O40</xm:f>
              <xm:sqref>Q40</xm:sqref>
            </x14:sparkline>
          </x14:sparklines>
        </x14:sparklineGroup>
        <x14:sparklineGroup manualMax="0" manualMin="0" displayEmptyCellsAs="gap" xr2:uid="{542D3288-FF50-4B7F-A395-AC49DFBAA6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Выручка!F8:O8</xm:f>
              <xm:sqref>Q8</xm:sqref>
            </x14:sparkline>
          </x14:sparklines>
        </x14:sparklineGroup>
        <x14:sparklineGroup manualMax="0" manualMin="0" displayEmptyCellsAs="gap" xr2:uid="{2CB4BCDC-2167-4C01-8507-EE45EFE1AF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Выручка!F15:O15</xm:f>
              <xm:sqref>Q15</xm:sqref>
            </x14:sparkline>
          </x14:sparklines>
        </x14:sparklineGroup>
        <x14:sparklineGroup manualMax="0" manualMin="0" displayEmptyCellsAs="gap" xr2:uid="{42041F8E-B581-4DF7-9E25-420B80FEBC8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Выручка!F21:O21</xm:f>
              <xm:sqref>Q21</xm:sqref>
            </x14:sparkline>
          </x14:sparklines>
        </x14:sparklineGroup>
        <x14:sparklineGroup manualMax="0" manualMin="0" displayEmptyCellsAs="gap" xr2:uid="{1DC7DB49-4979-4FD5-BA3C-70CBF672C2C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Выручка!F27:O27</xm:f>
              <xm:sqref>Q27</xm:sqref>
            </x14:sparkline>
          </x14:sparklines>
        </x14:sparklineGroup>
        <x14:sparklineGroup manualMax="0" manualMin="0" displayEmptyCellsAs="gap" xr2:uid="{D9CB6B50-3BD7-4F6F-ACAF-6E3DA08B2FF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Выручка!F29:O29</xm:f>
              <xm:sqref>Q29</xm:sqref>
            </x14:sparkline>
          </x14:sparklines>
        </x14:sparklineGroup>
        <x14:sparklineGroup manualMax="0" manualMin="0" displayEmptyCellsAs="gap" xr2:uid="{216EF5CF-89F5-493A-8B0C-34A87356A7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Выручка!F23:O23</xm:f>
              <xm:sqref>Q23</xm:sqref>
            </x14:sparkline>
          </x14:sparklines>
        </x14:sparklineGroup>
        <x14:sparklineGroup manualMax="0" manualMin="0" displayEmptyCellsAs="gap" xr2:uid="{0AB13BDD-BD2B-45A7-96DF-F2B7E86391E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Выручка!F17:O17</xm:f>
              <xm:sqref>Q17</xm:sqref>
            </x14:sparkline>
          </x14:sparklines>
        </x14:sparklineGroup>
        <x14:sparklineGroup manualMax="0" manualMin="0" displayEmptyCellsAs="gap" xr2:uid="{2556F8D0-C3C0-4324-A8C0-6228484B5DF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Выручка!F41:O41</xm:f>
              <xm:sqref>Q41</xm:sqref>
            </x14:sparkline>
          </x14:sparklines>
        </x14:sparklineGroup>
        <x14:sparklineGroup manualMax="0" manualMin="0" displayEmptyCellsAs="gap" xr2:uid="{3ACA5226-4E65-45E2-BA5E-562C9F1A561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Выручка!F35:O35</xm:f>
              <xm:sqref>Q35</xm:sqref>
            </x14:sparkline>
          </x14:sparklines>
        </x14:sparklineGroup>
        <x14:sparklineGroup manualMax="0" manualMin="0" displayEmptyCellsAs="gap" xr2:uid="{4679DBBD-D8AA-48B3-AA6D-3B3D18E04E7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Выручка!F34:O34</xm:f>
              <xm:sqref>Q34</xm:sqref>
            </x14:sparkline>
          </x14:sparklines>
        </x14:sparklineGroup>
        <x14:sparklineGroup manualMax="0" manualMin="0" displayEmptyCellsAs="gap" xr2:uid="{059FF13D-AA3A-4F92-9BA5-5CBA9A2B28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Выручка!F33:O33</xm:f>
              <xm:sqref>Q33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1FC3C-8A80-4414-874D-87DD7EF86889}">
  <sheetPr codeName="Лист16">
    <tabColor theme="9" tint="0.59999389629810485"/>
    <outlinePr summaryBelow="0" summaryRight="0"/>
    <pageSetUpPr fitToPage="1"/>
  </sheetPr>
  <dimension ref="A1:BZ53"/>
  <sheetViews>
    <sheetView zoomScaleNormal="100" workbookViewId="0">
      <pane xSplit="4" ySplit="3" topLeftCell="E4" activePane="bottomRight" state="frozen"/>
      <selection activeCell="H2" sqref="H2"/>
      <selection pane="topRight" activeCell="H2" sqref="H2"/>
      <selection pane="bottomLeft" activeCell="H2" sqref="H2"/>
      <selection pane="bottomRight" activeCell="B1" sqref="B1"/>
    </sheetView>
  </sheetViews>
  <sheetFormatPr defaultColWidth="0" defaultRowHeight="15" outlineLevelCol="1" x14ac:dyDescent="0.25"/>
  <cols>
    <col min="1" max="1" width="7" customWidth="1"/>
    <col min="2" max="2" width="29.8554687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8" width="0" hidden="1" customWidth="1"/>
    <col min="79" max="16384" width="8.85546875" hidden="1"/>
  </cols>
  <sheetData>
    <row r="1" spans="1:31" ht="25.5" x14ac:dyDescent="0.25">
      <c r="A1" s="690" t="s">
        <v>244</v>
      </c>
      <c r="B1" s="167"/>
      <c r="C1" s="71"/>
      <c r="D1" s="71"/>
      <c r="E1" s="71"/>
      <c r="F1" s="71"/>
      <c r="G1" s="71"/>
      <c r="H1" s="71"/>
      <c r="I1" s="154" t="str">
        <f ca="1">Контроль!$Q$1</f>
        <v>Ошибок нет</v>
      </c>
      <c r="J1" s="585"/>
      <c r="K1" s="71"/>
      <c r="L1" s="71"/>
      <c r="M1" s="71"/>
      <c r="N1" s="71"/>
      <c r="O1" s="71"/>
      <c r="P1" s="71"/>
      <c r="Q1" s="71"/>
      <c r="R1" s="71"/>
      <c r="S1" s="158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225"/>
    </row>
    <row r="2" spans="1:31" x14ac:dyDescent="0.25">
      <c r="A2" s="71" t="str">
        <f>Паспорт_ФМ_резидент!B7</f>
        <v>Название инвест. проект 01</v>
      </c>
      <c r="B2" s="167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9"/>
      <c r="T2" s="162">
        <v>11</v>
      </c>
      <c r="U2" s="162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42.75" x14ac:dyDescent="0.25">
      <c r="A3" s="127" t="s">
        <v>2</v>
      </c>
      <c r="B3" s="236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5"/>
      <c r="Q3" s="127" t="s">
        <v>106</v>
      </c>
      <c r="R3" s="155"/>
      <c r="S3" s="160"/>
      <c r="T3" s="163">
        <v>2035</v>
      </c>
      <c r="U3" s="163" t="e" cm="1">
        <f t="array" ref="U3">PU+1</f>
        <v>#NAME?</v>
      </c>
      <c r="V3" s="163" t="e">
        <f>U3+1</f>
        <v>#NAME?</v>
      </c>
      <c r="W3" s="163" t="e">
        <f t="shared" si="0"/>
        <v>#NAME?</v>
      </c>
      <c r="X3" s="163" t="e">
        <f t="shared" si="0"/>
        <v>#NAME?</v>
      </c>
      <c r="Y3" s="163" t="e">
        <f t="shared" si="0"/>
        <v>#NAME?</v>
      </c>
      <c r="Z3" s="163" t="e">
        <f t="shared" si="0"/>
        <v>#NAME?</v>
      </c>
      <c r="AA3" s="163" t="e">
        <f t="shared" si="0"/>
        <v>#NAME?</v>
      </c>
      <c r="AB3" s="163" t="e">
        <f t="shared" si="0"/>
        <v>#NAME?</v>
      </c>
      <c r="AC3" s="163" t="e">
        <f t="shared" si="0"/>
        <v>#NAME?</v>
      </c>
      <c r="AD3" s="155"/>
      <c r="AE3" s="236" t="s">
        <v>202</v>
      </c>
    </row>
    <row r="4" spans="1:31" ht="7.15" customHeight="1" x14ac:dyDescent="0.25">
      <c r="A4" s="149"/>
      <c r="B4" s="178"/>
      <c r="C4" s="149"/>
      <c r="D4" s="149"/>
      <c r="E4" s="7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71"/>
      <c r="Q4" s="149"/>
      <c r="R4" s="71"/>
      <c r="S4" s="159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9"/>
    </row>
    <row r="5" spans="1:31" x14ac:dyDescent="0.25">
      <c r="A5" s="71"/>
      <c r="B5" s="587"/>
      <c r="C5" s="595"/>
      <c r="D5" s="595"/>
      <c r="E5" s="71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71"/>
      <c r="Q5" s="149"/>
      <c r="R5" s="71"/>
      <c r="S5" s="159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spans="1:31" x14ac:dyDescent="0.25">
      <c r="A6" s="847" t="s">
        <v>249</v>
      </c>
      <c r="B6" s="848"/>
      <c r="C6" s="848"/>
      <c r="D6" s="849"/>
      <c r="E6" s="71"/>
      <c r="F6" s="847"/>
      <c r="G6" s="848"/>
      <c r="H6" s="848"/>
      <c r="I6" s="849"/>
      <c r="J6" s="847"/>
      <c r="K6" s="848"/>
      <c r="L6" s="848"/>
      <c r="M6" s="849"/>
      <c r="N6" s="847"/>
      <c r="O6" s="848"/>
      <c r="P6" s="71"/>
      <c r="Q6" s="149"/>
      <c r="R6" s="71"/>
      <c r="S6" s="159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9" t="s">
        <v>215</v>
      </c>
    </row>
    <row r="7" spans="1:31" ht="21" customHeight="1" x14ac:dyDescent="0.25">
      <c r="A7" s="149"/>
      <c r="B7" s="599" t="s">
        <v>248</v>
      </c>
      <c r="C7" s="244" t="s">
        <v>19</v>
      </c>
      <c r="D7" s="248">
        <f>SUM(F7:O7)</f>
        <v>40828.286048632843</v>
      </c>
      <c r="E7" s="71"/>
      <c r="F7" s="228">
        <f t="shared" ref="F7:O7" si="2">SUMIF($B$14:$B$46,$B$7,F$14:F$46)</f>
        <v>0</v>
      </c>
      <c r="G7" s="228">
        <f t="shared" si="2"/>
        <v>0</v>
      </c>
      <c r="H7" s="228">
        <f t="shared" si="2"/>
        <v>1400</v>
      </c>
      <c r="I7" s="228">
        <f t="shared" si="2"/>
        <v>4992.0000000000009</v>
      </c>
      <c r="J7" s="228">
        <f t="shared" si="2"/>
        <v>5191.6800000000012</v>
      </c>
      <c r="K7" s="228">
        <f t="shared" si="2"/>
        <v>5399.347200000002</v>
      </c>
      <c r="L7" s="228">
        <f t="shared" si="2"/>
        <v>5615.3210880000015</v>
      </c>
      <c r="M7" s="228">
        <f t="shared" si="2"/>
        <v>5839.9339315200014</v>
      </c>
      <c r="N7" s="228">
        <f t="shared" si="2"/>
        <v>6073.5312887808013</v>
      </c>
      <c r="O7" s="228">
        <f t="shared" si="2"/>
        <v>6316.4725403320344</v>
      </c>
      <c r="P7" s="71"/>
      <c r="Q7" s="149"/>
      <c r="R7" s="71"/>
      <c r="S7" s="159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</row>
    <row r="8" spans="1:31" ht="21" customHeight="1" x14ac:dyDescent="0.25">
      <c r="A8" s="575" t="str" cm="1">
        <f t="array" aca="1" ref="A8" ca="1">HYPERLINK(CELL("адрес",Макро!A31),"источник")</f>
        <v>источник</v>
      </c>
      <c r="B8" s="599" t="s">
        <v>455</v>
      </c>
      <c r="C8" s="244" t="s">
        <v>19</v>
      </c>
      <c r="D8" s="248">
        <f>SUM(F8:O8)</f>
        <v>8165.657209726568</v>
      </c>
      <c r="E8" s="71"/>
      <c r="F8" s="228">
        <f>F7*Макро!F31</f>
        <v>0</v>
      </c>
      <c r="G8" s="228">
        <f>G7*Макро!G31</f>
        <v>0</v>
      </c>
      <c r="H8" s="228">
        <f>H7*Макро!H31</f>
        <v>280</v>
      </c>
      <c r="I8" s="228">
        <f>I7*Макро!I31</f>
        <v>998.4000000000002</v>
      </c>
      <c r="J8" s="228">
        <f>J7*Макро!J31</f>
        <v>1038.3360000000002</v>
      </c>
      <c r="K8" s="228">
        <f>K7*Макро!K31</f>
        <v>1079.8694400000004</v>
      </c>
      <c r="L8" s="228">
        <f>L7*Макро!L31</f>
        <v>1123.0642176000003</v>
      </c>
      <c r="M8" s="228">
        <f>M7*Макро!M31</f>
        <v>1167.9867863040004</v>
      </c>
      <c r="N8" s="228">
        <f>N7*Макро!N31</f>
        <v>1214.7062577561603</v>
      </c>
      <c r="O8" s="228">
        <f>O7*Макро!O31</f>
        <v>1263.2945080664069</v>
      </c>
      <c r="P8" s="71"/>
      <c r="Q8" s="149"/>
      <c r="R8" s="71"/>
      <c r="S8" s="15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</row>
    <row r="9" spans="1:31" ht="21" customHeight="1" x14ac:dyDescent="0.25">
      <c r="A9" s="149"/>
      <c r="B9" s="599" t="s">
        <v>253</v>
      </c>
      <c r="C9" s="244" t="s">
        <v>19</v>
      </c>
      <c r="D9" s="248">
        <f>SUM(F9:O9)</f>
        <v>48993.94325835941</v>
      </c>
      <c r="E9" s="71"/>
      <c r="F9" s="228">
        <f>F7+F8</f>
        <v>0</v>
      </c>
      <c r="G9" s="228">
        <f t="shared" ref="G9:O9" si="3">G7+G8</f>
        <v>0</v>
      </c>
      <c r="H9" s="228">
        <f t="shared" si="3"/>
        <v>1680</v>
      </c>
      <c r="I9" s="228">
        <f t="shared" si="3"/>
        <v>5990.4000000000015</v>
      </c>
      <c r="J9" s="228">
        <f t="shared" si="3"/>
        <v>6230.0160000000014</v>
      </c>
      <c r="K9" s="228">
        <f t="shared" si="3"/>
        <v>6479.2166400000024</v>
      </c>
      <c r="L9" s="228">
        <f t="shared" si="3"/>
        <v>6738.3853056000016</v>
      </c>
      <c r="M9" s="228">
        <f t="shared" si="3"/>
        <v>7007.9207178240013</v>
      </c>
      <c r="N9" s="228">
        <f t="shared" si="3"/>
        <v>7288.2375465369614</v>
      </c>
      <c r="O9" s="228">
        <f t="shared" si="3"/>
        <v>7579.7670483984411</v>
      </c>
      <c r="P9" s="71"/>
      <c r="Q9" s="149"/>
      <c r="R9" s="71"/>
      <c r="S9" s="15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</row>
    <row r="10" spans="1:31" x14ac:dyDescent="0.25">
      <c r="A10" s="149"/>
      <c r="B10" s="178"/>
      <c r="C10" s="149"/>
      <c r="D10" s="149"/>
      <c r="E10" s="71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71"/>
      <c r="Q10" s="149"/>
      <c r="R10" s="71"/>
      <c r="S10" s="15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9"/>
    </row>
    <row r="11" spans="1:31" x14ac:dyDescent="0.25">
      <c r="A11" s="149"/>
      <c r="B11" s="732"/>
      <c r="C11" s="521"/>
      <c r="D11" s="521"/>
      <c r="E11" s="458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71"/>
      <c r="Q11" s="149"/>
      <c r="R11" s="71"/>
      <c r="S11" s="15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9"/>
    </row>
    <row r="12" spans="1:31" x14ac:dyDescent="0.25">
      <c r="A12" s="149"/>
      <c r="B12" s="178"/>
      <c r="C12" s="149"/>
      <c r="D12" s="149"/>
      <c r="E12" s="71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71"/>
      <c r="Q12" s="149"/>
      <c r="R12" s="71"/>
      <c r="S12" s="159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9"/>
    </row>
    <row r="13" spans="1:31" ht="28.5" x14ac:dyDescent="0.25">
      <c r="A13" s="149"/>
      <c r="B13" s="558" t="s">
        <v>250</v>
      </c>
      <c r="C13" s="558"/>
      <c r="D13" s="558"/>
      <c r="E13" s="71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71"/>
      <c r="Q13" s="149"/>
      <c r="R13" s="71"/>
      <c r="S13" s="159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</row>
    <row r="14" spans="1:31" x14ac:dyDescent="0.25">
      <c r="A14" s="149"/>
      <c r="B14" s="599" t="s">
        <v>248</v>
      </c>
      <c r="C14" s="244" t="s">
        <v>19</v>
      </c>
      <c r="D14" s="248">
        <f>SUM(F14:O14)</f>
        <v>27085.52403242189</v>
      </c>
      <c r="E14" s="71"/>
      <c r="F14" s="231"/>
      <c r="G14" s="583"/>
      <c r="H14" s="231">
        <f t="shared" ref="H14:O14" si="4">H15*H16</f>
        <v>800</v>
      </c>
      <c r="I14" s="231">
        <f t="shared" si="4"/>
        <v>3328.0000000000005</v>
      </c>
      <c r="J14" s="231">
        <f t="shared" si="4"/>
        <v>3461.1200000000008</v>
      </c>
      <c r="K14" s="231">
        <f t="shared" si="4"/>
        <v>3599.564800000001</v>
      </c>
      <c r="L14" s="231">
        <f t="shared" si="4"/>
        <v>3743.5473920000009</v>
      </c>
      <c r="M14" s="231">
        <f t="shared" si="4"/>
        <v>3893.2892876800011</v>
      </c>
      <c r="N14" s="231">
        <f t="shared" si="4"/>
        <v>4049.020859187201</v>
      </c>
      <c r="O14" s="231">
        <f t="shared" si="4"/>
        <v>4210.9816935546896</v>
      </c>
      <c r="P14" s="71"/>
      <c r="Q14" s="149"/>
      <c r="R14" s="71"/>
      <c r="S14" s="159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49"/>
    </row>
    <row r="15" spans="1:31" x14ac:dyDescent="0.25">
      <c r="A15" s="149"/>
      <c r="B15" s="592" t="s">
        <v>245</v>
      </c>
      <c r="C15" s="244" t="s">
        <v>115</v>
      </c>
      <c r="D15" s="248">
        <f>SUM(F15:O15)</f>
        <v>58000</v>
      </c>
      <c r="E15" s="71"/>
      <c r="F15" s="232"/>
      <c r="G15" s="232"/>
      <c r="H15" s="232">
        <v>2000</v>
      </c>
      <c r="I15" s="232">
        <v>8000</v>
      </c>
      <c r="J15" s="232">
        <v>8000</v>
      </c>
      <c r="K15" s="232">
        <v>8000</v>
      </c>
      <c r="L15" s="232">
        <v>8000</v>
      </c>
      <c r="M15" s="232">
        <v>8000</v>
      </c>
      <c r="N15" s="232">
        <v>8000</v>
      </c>
      <c r="O15" s="232">
        <v>8000</v>
      </c>
      <c r="P15" s="71"/>
      <c r="Q15" s="149"/>
      <c r="R15" s="71"/>
      <c r="S15" s="15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149"/>
    </row>
    <row r="16" spans="1:31" ht="30" x14ac:dyDescent="0.25">
      <c r="A16" s="149"/>
      <c r="B16" s="592" t="s">
        <v>246</v>
      </c>
      <c r="C16" s="244" t="s">
        <v>19</v>
      </c>
      <c r="D16" s="601" t="s">
        <v>134</v>
      </c>
      <c r="E16" s="71"/>
      <c r="F16" s="231"/>
      <c r="G16" s="583"/>
      <c r="H16" s="146">
        <v>0.4</v>
      </c>
      <c r="I16" s="580">
        <f>H16*Макро!I6</f>
        <v>0.41600000000000004</v>
      </c>
      <c r="J16" s="580">
        <f>I16*Макро!J6</f>
        <v>0.43264000000000008</v>
      </c>
      <c r="K16" s="580">
        <f>J16*Макро!K6</f>
        <v>0.44994560000000011</v>
      </c>
      <c r="L16" s="580">
        <f>K16*Макро!L6</f>
        <v>0.46794342400000011</v>
      </c>
      <c r="M16" s="580">
        <f>L16*Макро!M6</f>
        <v>0.48666116096000012</v>
      </c>
      <c r="N16" s="580">
        <f>M16*Макро!N6</f>
        <v>0.50612760739840013</v>
      </c>
      <c r="O16" s="580">
        <f>N16*Макро!O6</f>
        <v>0.52637271169433619</v>
      </c>
      <c r="P16" s="71"/>
      <c r="Q16" s="149"/>
      <c r="R16" s="71"/>
      <c r="S16" s="15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9"/>
    </row>
    <row r="17" spans="1:31" x14ac:dyDescent="0.25">
      <c r="A17" s="149"/>
      <c r="B17" s="600" t="s">
        <v>247</v>
      </c>
      <c r="C17" s="244"/>
      <c r="D17" s="248"/>
      <c r="E17" s="71"/>
      <c r="F17" s="231"/>
      <c r="G17" s="583"/>
      <c r="H17" s="231"/>
      <c r="I17" s="231"/>
      <c r="J17" s="586"/>
      <c r="K17" s="586"/>
      <c r="L17" s="586"/>
      <c r="M17" s="586"/>
      <c r="N17" s="586"/>
      <c r="O17" s="586"/>
      <c r="P17" s="71"/>
      <c r="Q17" s="149"/>
      <c r="R17" s="71"/>
      <c r="S17" s="15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49"/>
    </row>
    <row r="18" spans="1:31" ht="24" x14ac:dyDescent="0.25">
      <c r="A18" s="149"/>
      <c r="B18" s="733" t="s">
        <v>478</v>
      </c>
      <c r="C18" s="244" t="s">
        <v>19</v>
      </c>
      <c r="D18" s="248">
        <f>SUM(F18:O18)</f>
        <v>919666.47771214647</v>
      </c>
      <c r="E18" s="71"/>
      <c r="F18" s="571">
        <f>Выручка!F15</f>
        <v>0</v>
      </c>
      <c r="G18" s="571">
        <f>Выручка!G15</f>
        <v>0</v>
      </c>
      <c r="H18" s="571">
        <f>Выручка!H15</f>
        <v>38280</v>
      </c>
      <c r="I18" s="571">
        <f>Выручка!I15</f>
        <v>111592</v>
      </c>
      <c r="J18" s="571">
        <f>Выручка!J15</f>
        <v>116055.68000000001</v>
      </c>
      <c r="K18" s="571">
        <f>Выручка!K15</f>
        <v>120697.90720000002</v>
      </c>
      <c r="L18" s="571">
        <f>Выручка!L15</f>
        <v>125525.82348800001</v>
      </c>
      <c r="M18" s="571">
        <f>Выручка!M15</f>
        <v>130546.85642752002</v>
      </c>
      <c r="N18" s="571">
        <f>Выручка!N15</f>
        <v>135768.73068462082</v>
      </c>
      <c r="O18" s="571">
        <f>Выручка!O15</f>
        <v>141199.47991200566</v>
      </c>
      <c r="P18" s="71"/>
      <c r="Q18" s="149"/>
      <c r="R18" s="71"/>
      <c r="S18" s="159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9"/>
    </row>
    <row r="19" spans="1:31" ht="25.5" x14ac:dyDescent="0.25">
      <c r="A19" s="149"/>
      <c r="B19" s="734" t="s">
        <v>258</v>
      </c>
      <c r="C19" s="244" t="s">
        <v>19</v>
      </c>
      <c r="D19" s="248">
        <f>SUM(F19:O19)</f>
        <v>892580.9536797246</v>
      </c>
      <c r="E19" s="71"/>
      <c r="F19" s="231"/>
      <c r="G19" s="583"/>
      <c r="H19" s="598">
        <f t="shared" ref="H19:O19" si="5">H18-H14</f>
        <v>37480</v>
      </c>
      <c r="I19" s="598">
        <f t="shared" si="5"/>
        <v>108264</v>
      </c>
      <c r="J19" s="598">
        <f t="shared" si="5"/>
        <v>112594.56000000001</v>
      </c>
      <c r="K19" s="598">
        <f t="shared" si="5"/>
        <v>117098.34240000001</v>
      </c>
      <c r="L19" s="598">
        <f t="shared" si="5"/>
        <v>121782.276096</v>
      </c>
      <c r="M19" s="598">
        <f t="shared" si="5"/>
        <v>126653.56713984002</v>
      </c>
      <c r="N19" s="598">
        <f t="shared" si="5"/>
        <v>131719.70982543362</v>
      </c>
      <c r="O19" s="598">
        <f t="shared" si="5"/>
        <v>136988.49821845096</v>
      </c>
      <c r="P19" s="71"/>
      <c r="Q19" s="149"/>
      <c r="R19" s="71"/>
      <c r="S19" s="159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9"/>
    </row>
    <row r="20" spans="1:31" ht="25.5" x14ac:dyDescent="0.25">
      <c r="A20" s="149"/>
      <c r="B20" s="734" t="s">
        <v>259</v>
      </c>
      <c r="C20" s="191" t="s">
        <v>27</v>
      </c>
      <c r="D20" s="137">
        <f>D19/D18</f>
        <v>0.97054853613909853</v>
      </c>
      <c r="E20" s="71"/>
      <c r="F20" s="231"/>
      <c r="G20" s="583"/>
      <c r="H20" s="137">
        <f>H19/H18</f>
        <v>0.9791013584117032</v>
      </c>
      <c r="I20" s="137">
        <f t="shared" ref="I20:O20" si="6">I19/I18</f>
        <v>0.97017707362534944</v>
      </c>
      <c r="J20" s="137">
        <f t="shared" si="6"/>
        <v>0.97017707362534955</v>
      </c>
      <c r="K20" s="137">
        <f t="shared" si="6"/>
        <v>0.97017707362534944</v>
      </c>
      <c r="L20" s="137">
        <f t="shared" si="6"/>
        <v>0.97017707362534944</v>
      </c>
      <c r="M20" s="137">
        <f t="shared" si="6"/>
        <v>0.97017707362534944</v>
      </c>
      <c r="N20" s="137">
        <f t="shared" si="6"/>
        <v>0.97017707362534944</v>
      </c>
      <c r="O20" s="137">
        <f t="shared" si="6"/>
        <v>0.97017707362534944</v>
      </c>
      <c r="P20" s="71"/>
      <c r="Q20" s="149"/>
      <c r="R20" s="71"/>
      <c r="S20" s="15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9"/>
    </row>
    <row r="21" spans="1:31" x14ac:dyDescent="0.25">
      <c r="A21" s="149"/>
      <c r="B21" s="592"/>
      <c r="C21" s="244"/>
      <c r="D21" s="248"/>
      <c r="E21" s="71"/>
      <c r="F21" s="231"/>
      <c r="G21" s="583"/>
      <c r="H21" s="231"/>
      <c r="I21" s="231"/>
      <c r="J21" s="586"/>
      <c r="K21" s="586"/>
      <c r="L21" s="586"/>
      <c r="M21" s="586"/>
      <c r="N21" s="586"/>
      <c r="O21" s="586"/>
      <c r="P21" s="71"/>
      <c r="Q21" s="149"/>
      <c r="R21" s="71"/>
      <c r="S21" s="159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149"/>
    </row>
    <row r="22" spans="1:31" ht="28.5" x14ac:dyDescent="0.25">
      <c r="A22" s="149"/>
      <c r="B22" s="558" t="s">
        <v>254</v>
      </c>
      <c r="C22" s="558"/>
      <c r="D22" s="558"/>
      <c r="E22" s="71"/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71"/>
      <c r="Q22" s="149"/>
      <c r="R22" s="71"/>
      <c r="S22" s="159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</row>
    <row r="23" spans="1:31" x14ac:dyDescent="0.25">
      <c r="A23" s="149"/>
      <c r="B23" s="599" t="s">
        <v>248</v>
      </c>
      <c r="C23" s="244" t="s">
        <v>19</v>
      </c>
      <c r="D23" s="248">
        <f>SUM(F23:O23)</f>
        <v>13742.762016210945</v>
      </c>
      <c r="E23" s="71"/>
      <c r="F23" s="231"/>
      <c r="G23" s="583"/>
      <c r="H23" s="231">
        <f t="shared" ref="H23:O23" si="7">H24*H25</f>
        <v>600</v>
      </c>
      <c r="I23" s="231">
        <f t="shared" si="7"/>
        <v>1664.0000000000002</v>
      </c>
      <c r="J23" s="231">
        <f t="shared" si="7"/>
        <v>1730.5600000000004</v>
      </c>
      <c r="K23" s="231">
        <f t="shared" si="7"/>
        <v>1799.7824000000005</v>
      </c>
      <c r="L23" s="231">
        <f t="shared" si="7"/>
        <v>1871.7736960000004</v>
      </c>
      <c r="M23" s="231">
        <f t="shared" si="7"/>
        <v>1946.6446438400005</v>
      </c>
      <c r="N23" s="231">
        <f t="shared" si="7"/>
        <v>2024.5104295936005</v>
      </c>
      <c r="O23" s="231">
        <f t="shared" si="7"/>
        <v>2105.4908467773448</v>
      </c>
      <c r="P23" s="71"/>
      <c r="Q23" s="149"/>
      <c r="R23" s="71"/>
      <c r="S23" s="159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9"/>
    </row>
    <row r="24" spans="1:31" x14ac:dyDescent="0.25">
      <c r="A24" s="149"/>
      <c r="B24" s="592" t="s">
        <v>255</v>
      </c>
      <c r="C24" s="244" t="s">
        <v>115</v>
      </c>
      <c r="D24" s="248">
        <f>SUM(F24:O24)</f>
        <v>118000</v>
      </c>
      <c r="E24" s="71"/>
      <c r="F24" s="232"/>
      <c r="G24" s="232"/>
      <c r="H24" s="232">
        <v>6000</v>
      </c>
      <c r="I24" s="232">
        <v>16000</v>
      </c>
      <c r="J24" s="232">
        <v>16000</v>
      </c>
      <c r="K24" s="232">
        <v>16000</v>
      </c>
      <c r="L24" s="232">
        <v>16000</v>
      </c>
      <c r="M24" s="232">
        <v>16000</v>
      </c>
      <c r="N24" s="232">
        <v>16000</v>
      </c>
      <c r="O24" s="232">
        <v>16000</v>
      </c>
      <c r="P24" s="71"/>
      <c r="Q24" s="149"/>
      <c r="R24" s="71"/>
      <c r="S24" s="159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9"/>
    </row>
    <row r="25" spans="1:31" ht="30" x14ac:dyDescent="0.25">
      <c r="A25" s="149"/>
      <c r="B25" s="592" t="s">
        <v>256</v>
      </c>
      <c r="C25" s="244" t="s">
        <v>19</v>
      </c>
      <c r="D25" s="601" t="s">
        <v>134</v>
      </c>
      <c r="E25" s="71"/>
      <c r="F25" s="231"/>
      <c r="G25" s="583"/>
      <c r="H25" s="146">
        <v>0.1</v>
      </c>
      <c r="I25" s="580">
        <f>H25*Макро!I6</f>
        <v>0.10400000000000001</v>
      </c>
      <c r="J25" s="580">
        <f>I25*Макро!J6</f>
        <v>0.10816000000000002</v>
      </c>
      <c r="K25" s="580">
        <f>J25*Макро!K6</f>
        <v>0.11248640000000003</v>
      </c>
      <c r="L25" s="580">
        <f>K25*Макро!L6</f>
        <v>0.11698585600000003</v>
      </c>
      <c r="M25" s="580">
        <f>L25*Макро!M6</f>
        <v>0.12166529024000003</v>
      </c>
      <c r="N25" s="580">
        <f>M25*Макро!N6</f>
        <v>0.12653190184960003</v>
      </c>
      <c r="O25" s="580">
        <f>N25*Макро!O6</f>
        <v>0.13159317792358405</v>
      </c>
      <c r="P25" s="71"/>
      <c r="Q25" s="149"/>
      <c r="R25" s="71"/>
      <c r="S25" s="159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9"/>
    </row>
    <row r="26" spans="1:31" x14ac:dyDescent="0.25">
      <c r="A26" s="149"/>
      <c r="B26" s="600" t="s">
        <v>247</v>
      </c>
      <c r="C26" s="244"/>
      <c r="D26" s="248"/>
      <c r="E26" s="71"/>
      <c r="F26" s="231"/>
      <c r="G26" s="583"/>
      <c r="H26" s="231"/>
      <c r="I26" s="231"/>
      <c r="J26" s="586"/>
      <c r="K26" s="586"/>
      <c r="L26" s="586"/>
      <c r="M26" s="586"/>
      <c r="N26" s="586"/>
      <c r="O26" s="586"/>
      <c r="P26" s="71"/>
      <c r="Q26" s="149"/>
      <c r="R26" s="71"/>
      <c r="S26" s="15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149"/>
    </row>
    <row r="27" spans="1:31" ht="24" x14ac:dyDescent="0.25">
      <c r="A27" s="149"/>
      <c r="B27" s="733" t="s">
        <v>478</v>
      </c>
      <c r="C27" s="244" t="s">
        <v>19</v>
      </c>
      <c r="D27" s="248">
        <f>SUM(F27:O27)</f>
        <v>8464.2262601318434</v>
      </c>
      <c r="E27" s="71"/>
      <c r="F27" s="571">
        <f>Выручка!F21</f>
        <v>0</v>
      </c>
      <c r="G27" s="571">
        <f>Выручка!G21</f>
        <v>0</v>
      </c>
      <c r="H27" s="571">
        <f>Выручка!H21</f>
        <v>250</v>
      </c>
      <c r="I27" s="571">
        <f>Выручка!I21</f>
        <v>1040</v>
      </c>
      <c r="J27" s="571">
        <f>Выручка!J21</f>
        <v>1081.6000000000001</v>
      </c>
      <c r="K27" s="571">
        <f>Выручка!K21</f>
        <v>1124.8640000000003</v>
      </c>
      <c r="L27" s="571">
        <f>Выручка!L21</f>
        <v>1169.8585600000004</v>
      </c>
      <c r="M27" s="571">
        <f>Выручка!M21</f>
        <v>1216.6529024000004</v>
      </c>
      <c r="N27" s="571">
        <f>Выручка!N21</f>
        <v>1265.3190184960006</v>
      </c>
      <c r="O27" s="571">
        <f>Выручка!O21</f>
        <v>1315.9317792358406</v>
      </c>
      <c r="P27" s="71"/>
      <c r="Q27" s="149"/>
      <c r="R27" s="71"/>
      <c r="S27" s="159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149"/>
    </row>
    <row r="28" spans="1:31" ht="25.5" x14ac:dyDescent="0.25">
      <c r="A28" s="149"/>
      <c r="B28" s="734" t="s">
        <v>260</v>
      </c>
      <c r="C28" s="244" t="s">
        <v>19</v>
      </c>
      <c r="D28" s="248">
        <f>SUM(F28:O28)</f>
        <v>-5278.5357560791053</v>
      </c>
      <c r="E28" s="71"/>
      <c r="F28" s="231"/>
      <c r="G28" s="583"/>
      <c r="H28" s="598">
        <f t="shared" ref="H28:O28" si="8">H27-H23</f>
        <v>-350</v>
      </c>
      <c r="I28" s="598">
        <f t="shared" si="8"/>
        <v>-624.00000000000023</v>
      </c>
      <c r="J28" s="598">
        <f t="shared" si="8"/>
        <v>-648.96000000000026</v>
      </c>
      <c r="K28" s="598">
        <f t="shared" si="8"/>
        <v>-674.91840000000025</v>
      </c>
      <c r="L28" s="598">
        <f t="shared" si="8"/>
        <v>-701.91513600000008</v>
      </c>
      <c r="M28" s="598">
        <f t="shared" si="8"/>
        <v>-729.99174144000017</v>
      </c>
      <c r="N28" s="598">
        <f t="shared" si="8"/>
        <v>-759.19141109759994</v>
      </c>
      <c r="O28" s="598">
        <f t="shared" si="8"/>
        <v>-789.55906754150419</v>
      </c>
      <c r="P28" s="71"/>
      <c r="Q28" s="149"/>
      <c r="R28" s="71"/>
      <c r="S28" s="159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49"/>
    </row>
    <row r="29" spans="1:31" ht="25.5" x14ac:dyDescent="0.25">
      <c r="A29" s="149"/>
      <c r="B29" s="734" t="s">
        <v>261</v>
      </c>
      <c r="C29" s="191" t="s">
        <v>27</v>
      </c>
      <c r="D29" s="137">
        <f>D28/D27</f>
        <v>-0.62362885795504286</v>
      </c>
      <c r="E29" s="71"/>
      <c r="F29" s="231"/>
      <c r="G29" s="583"/>
      <c r="H29" s="137">
        <f t="shared" ref="H29:O29" si="9">H28/H27</f>
        <v>-1.4</v>
      </c>
      <c r="I29" s="137">
        <f t="shared" si="9"/>
        <v>-0.6000000000000002</v>
      </c>
      <c r="J29" s="137">
        <f t="shared" si="9"/>
        <v>-0.6000000000000002</v>
      </c>
      <c r="K29" s="137">
        <f t="shared" si="9"/>
        <v>-0.60000000000000009</v>
      </c>
      <c r="L29" s="137">
        <f t="shared" si="9"/>
        <v>-0.59999999999999987</v>
      </c>
      <c r="M29" s="137">
        <f t="shared" si="9"/>
        <v>-0.6</v>
      </c>
      <c r="N29" s="137">
        <f t="shared" si="9"/>
        <v>-0.59999999999999964</v>
      </c>
      <c r="O29" s="137">
        <f t="shared" si="9"/>
        <v>-0.59999999999999987</v>
      </c>
      <c r="P29" s="71"/>
      <c r="Q29" s="149"/>
      <c r="R29" s="71"/>
      <c r="S29" s="15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49"/>
    </row>
    <row r="30" spans="1:31" x14ac:dyDescent="0.25">
      <c r="A30" s="149"/>
      <c r="B30" s="592"/>
      <c r="C30" s="244"/>
      <c r="D30" s="248"/>
      <c r="E30" s="71"/>
      <c r="F30" s="231"/>
      <c r="G30" s="583"/>
      <c r="H30" s="231"/>
      <c r="I30" s="231"/>
      <c r="J30" s="586"/>
      <c r="K30" s="586"/>
      <c r="L30" s="586"/>
      <c r="M30" s="586"/>
      <c r="N30" s="586"/>
      <c r="O30" s="586"/>
      <c r="P30" s="71"/>
      <c r="Q30" s="149"/>
      <c r="R30" s="71"/>
      <c r="S30" s="159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49"/>
    </row>
    <row r="31" spans="1:31" x14ac:dyDescent="0.25">
      <c r="A31" s="149"/>
      <c r="B31" s="592"/>
      <c r="C31" s="244"/>
      <c r="D31" s="248"/>
      <c r="E31" s="71"/>
      <c r="F31" s="231"/>
      <c r="G31" s="583"/>
      <c r="H31" s="231"/>
      <c r="I31" s="231"/>
      <c r="J31" s="586"/>
      <c r="K31" s="586"/>
      <c r="L31" s="586"/>
      <c r="M31" s="586"/>
      <c r="N31" s="586"/>
      <c r="O31" s="586"/>
      <c r="P31" s="71"/>
      <c r="Q31" s="149"/>
      <c r="R31" s="71"/>
      <c r="S31" s="159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49"/>
    </row>
    <row r="32" spans="1:31" x14ac:dyDescent="0.25">
      <c r="A32" s="149"/>
      <c r="B32" s="592"/>
      <c r="C32" s="244"/>
      <c r="D32" s="248"/>
      <c r="E32" s="71"/>
      <c r="F32" s="231"/>
      <c r="G32" s="583"/>
      <c r="H32" s="231"/>
      <c r="I32" s="231"/>
      <c r="J32" s="586"/>
      <c r="K32" s="586"/>
      <c r="L32" s="586"/>
      <c r="M32" s="586"/>
      <c r="N32" s="586"/>
      <c r="O32" s="586"/>
      <c r="P32" s="71"/>
      <c r="Q32" s="149"/>
      <c r="R32" s="71"/>
      <c r="S32" s="15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49"/>
    </row>
    <row r="33" spans="1:31" x14ac:dyDescent="0.25">
      <c r="A33" s="149"/>
      <c r="B33" s="592"/>
      <c r="C33" s="244"/>
      <c r="D33" s="248"/>
      <c r="E33" s="71"/>
      <c r="F33" s="231"/>
      <c r="G33" s="583"/>
      <c r="H33" s="231"/>
      <c r="I33" s="231"/>
      <c r="J33" s="586"/>
      <c r="K33" s="586"/>
      <c r="L33" s="586"/>
      <c r="M33" s="586"/>
      <c r="N33" s="586"/>
      <c r="O33" s="586"/>
      <c r="P33" s="71"/>
      <c r="Q33" s="149"/>
      <c r="R33" s="71"/>
      <c r="S33" s="15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149"/>
    </row>
    <row r="34" spans="1:31" x14ac:dyDescent="0.25">
      <c r="A34" s="149"/>
      <c r="B34" s="592"/>
      <c r="C34" s="244"/>
      <c r="D34" s="248"/>
      <c r="E34" s="71"/>
      <c r="F34" s="231"/>
      <c r="G34" s="583"/>
      <c r="H34" s="231"/>
      <c r="I34" s="231"/>
      <c r="J34" s="586"/>
      <c r="K34" s="586"/>
      <c r="L34" s="586"/>
      <c r="M34" s="586"/>
      <c r="N34" s="586"/>
      <c r="O34" s="586"/>
      <c r="P34" s="71"/>
      <c r="Q34" s="149"/>
      <c r="R34" s="71"/>
      <c r="S34" s="159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149"/>
    </row>
    <row r="35" spans="1:31" x14ac:dyDescent="0.25">
      <c r="A35" s="149"/>
      <c r="B35" s="592"/>
      <c r="C35" s="244"/>
      <c r="D35" s="248"/>
      <c r="E35" s="71"/>
      <c r="F35" s="231"/>
      <c r="G35" s="583"/>
      <c r="H35" s="231"/>
      <c r="I35" s="231"/>
      <c r="J35" s="586"/>
      <c r="K35" s="586"/>
      <c r="L35" s="586"/>
      <c r="M35" s="586"/>
      <c r="N35" s="586"/>
      <c r="O35" s="586"/>
      <c r="P35" s="71"/>
      <c r="Q35" s="149"/>
      <c r="R35" s="71"/>
      <c r="S35" s="159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49"/>
    </row>
    <row r="36" spans="1:31" x14ac:dyDescent="0.25">
      <c r="A36" s="149"/>
      <c r="B36" s="592"/>
      <c r="C36" s="244"/>
      <c r="D36" s="248"/>
      <c r="E36" s="71"/>
      <c r="F36" s="231"/>
      <c r="G36" s="583"/>
      <c r="H36" s="231"/>
      <c r="I36" s="231"/>
      <c r="J36" s="586"/>
      <c r="K36" s="586"/>
      <c r="L36" s="586"/>
      <c r="M36" s="586"/>
      <c r="N36" s="586"/>
      <c r="O36" s="586"/>
      <c r="P36" s="71"/>
      <c r="Q36" s="149"/>
      <c r="R36" s="71"/>
      <c r="S36" s="159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49"/>
    </row>
    <row r="37" spans="1:31" x14ac:dyDescent="0.25">
      <c r="A37" s="149"/>
      <c r="B37" s="592"/>
      <c r="C37" s="244"/>
      <c r="D37" s="248"/>
      <c r="E37" s="71"/>
      <c r="F37" s="231"/>
      <c r="G37" s="583"/>
      <c r="H37" s="231"/>
      <c r="I37" s="231"/>
      <c r="J37" s="586"/>
      <c r="K37" s="586"/>
      <c r="L37" s="586"/>
      <c r="M37" s="586"/>
      <c r="N37" s="586"/>
      <c r="O37" s="586"/>
      <c r="P37" s="71"/>
      <c r="Q37" s="149"/>
      <c r="R37" s="71"/>
      <c r="S37" s="15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49"/>
    </row>
    <row r="38" spans="1:31" x14ac:dyDescent="0.25">
      <c r="A38" s="149"/>
      <c r="B38" s="592"/>
      <c r="C38" s="244"/>
      <c r="D38" s="248"/>
      <c r="E38" s="71"/>
      <c r="F38" s="231"/>
      <c r="G38" s="583"/>
      <c r="H38" s="231"/>
      <c r="I38" s="231"/>
      <c r="J38" s="586"/>
      <c r="K38" s="586"/>
      <c r="L38" s="586"/>
      <c r="M38" s="586"/>
      <c r="N38" s="586"/>
      <c r="O38" s="586"/>
      <c r="P38" s="71"/>
      <c r="Q38" s="149"/>
      <c r="R38" s="71"/>
      <c r="S38" s="159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9"/>
    </row>
    <row r="39" spans="1:31" x14ac:dyDescent="0.25">
      <c r="A39" s="149"/>
      <c r="B39" s="592"/>
      <c r="C39" s="244"/>
      <c r="D39" s="248"/>
      <c r="E39" s="71"/>
      <c r="F39" s="231"/>
      <c r="G39" s="583"/>
      <c r="H39" s="231"/>
      <c r="I39" s="231"/>
      <c r="J39" s="586"/>
      <c r="K39" s="586"/>
      <c r="L39" s="586"/>
      <c r="M39" s="586"/>
      <c r="N39" s="586"/>
      <c r="O39" s="586"/>
      <c r="P39" s="71"/>
      <c r="Q39" s="149"/>
      <c r="R39" s="71"/>
      <c r="S39" s="159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49"/>
    </row>
    <row r="40" spans="1:31" x14ac:dyDescent="0.25">
      <c r="A40" s="149"/>
      <c r="B40" s="592"/>
      <c r="C40" s="244"/>
      <c r="D40" s="248"/>
      <c r="E40" s="71"/>
      <c r="F40" s="231"/>
      <c r="G40" s="583"/>
      <c r="H40" s="231"/>
      <c r="I40" s="231"/>
      <c r="J40" s="586"/>
      <c r="K40" s="586"/>
      <c r="L40" s="586"/>
      <c r="M40" s="586"/>
      <c r="N40" s="586"/>
      <c r="O40" s="586"/>
      <c r="P40" s="71"/>
      <c r="Q40" s="149"/>
      <c r="R40" s="71"/>
      <c r="S40" s="159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9"/>
    </row>
    <row r="41" spans="1:31" x14ac:dyDescent="0.25">
      <c r="A41" s="149"/>
      <c r="B41" s="592"/>
      <c r="C41" s="244"/>
      <c r="D41" s="248"/>
      <c r="E41" s="71"/>
      <c r="F41" s="231"/>
      <c r="G41" s="583"/>
      <c r="H41" s="231"/>
      <c r="I41" s="231"/>
      <c r="J41" s="586"/>
      <c r="K41" s="586"/>
      <c r="L41" s="586"/>
      <c r="M41" s="586"/>
      <c r="N41" s="586"/>
      <c r="O41" s="586"/>
      <c r="P41" s="71"/>
      <c r="Q41" s="149"/>
      <c r="R41" s="71"/>
      <c r="S41" s="159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9"/>
    </row>
    <row r="42" spans="1:31" x14ac:dyDescent="0.25">
      <c r="A42" s="149"/>
      <c r="B42" s="592"/>
      <c r="C42" s="244"/>
      <c r="D42" s="248"/>
      <c r="E42" s="71"/>
      <c r="F42" s="231"/>
      <c r="G42" s="583"/>
      <c r="H42" s="231"/>
      <c r="I42" s="231"/>
      <c r="J42" s="586"/>
      <c r="K42" s="586"/>
      <c r="L42" s="586"/>
      <c r="M42" s="586"/>
      <c r="N42" s="586"/>
      <c r="O42" s="586"/>
      <c r="P42" s="71"/>
      <c r="Q42" s="149"/>
      <c r="R42" s="71"/>
      <c r="S42" s="159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9"/>
    </row>
    <row r="43" spans="1:31" x14ac:dyDescent="0.25">
      <c r="A43" s="149"/>
      <c r="B43" s="592"/>
      <c r="C43" s="244"/>
      <c r="D43" s="248"/>
      <c r="E43" s="71"/>
      <c r="F43" s="231"/>
      <c r="G43" s="583"/>
      <c r="H43" s="231"/>
      <c r="I43" s="231"/>
      <c r="J43" s="586"/>
      <c r="K43" s="586"/>
      <c r="L43" s="586"/>
      <c r="M43" s="586"/>
      <c r="N43" s="586"/>
      <c r="O43" s="586"/>
      <c r="P43" s="71"/>
      <c r="Q43" s="149"/>
      <c r="R43" s="71"/>
      <c r="S43" s="159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49"/>
    </row>
    <row r="44" spans="1:31" x14ac:dyDescent="0.25">
      <c r="A44" s="149"/>
      <c r="B44" s="592"/>
      <c r="C44" s="244"/>
      <c r="D44" s="248"/>
      <c r="E44" s="71"/>
      <c r="F44" s="231"/>
      <c r="G44" s="583"/>
      <c r="H44" s="231"/>
      <c r="I44" s="231"/>
      <c r="J44" s="586"/>
      <c r="K44" s="586"/>
      <c r="L44" s="586"/>
      <c r="M44" s="586"/>
      <c r="N44" s="586"/>
      <c r="O44" s="586"/>
      <c r="P44" s="71"/>
      <c r="Q44" s="149"/>
      <c r="R44" s="71"/>
      <c r="S44" s="159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149"/>
    </row>
    <row r="45" spans="1:31" x14ac:dyDescent="0.25">
      <c r="A45" s="149"/>
      <c r="B45" s="178"/>
      <c r="C45" s="149"/>
      <c r="D45" s="149"/>
      <c r="E45" s="71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71"/>
      <c r="Q45" s="149"/>
      <c r="R45" s="71"/>
      <c r="S45" s="159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149"/>
    </row>
    <row r="46" spans="1:31" ht="15.75" thickBot="1" x14ac:dyDescent="0.3">
      <c r="A46" s="132"/>
      <c r="B46" s="179"/>
      <c r="C46" s="192"/>
      <c r="D46" s="132"/>
      <c r="E46" s="71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71"/>
      <c r="Q46" s="132"/>
      <c r="R46" s="71"/>
      <c r="S46" s="15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132"/>
    </row>
    <row r="48" spans="1:31" x14ac:dyDescent="0.25">
      <c r="A48" s="71"/>
      <c r="B48" s="174" t="str" cm="1">
        <f t="array" aca="1" ref="B48" ca="1">HYPERLINK(CELL("адрес",БДР!$A$1),"Перейти на лист БДР")</f>
        <v>Перейти на лист БДР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</row>
    <row r="49" spans="2:2" x14ac:dyDescent="0.25">
      <c r="B49" s="174" t="str" cm="1">
        <f t="array" aca="1" ref="B49" ca="1">HYPERLINK(CELL("адрес",БДДС!$A$1),"Перейти на лист БДДС")</f>
        <v>Перейти на лист БДДС</v>
      </c>
    </row>
    <row r="50" spans="2:2" x14ac:dyDescent="0.25">
      <c r="B50" s="174" t="str" cm="1">
        <f t="array" aca="1" ref="B50" ca="1">HYPERLINK(CELL("адрес",Баланс!$A$1),"Перейти на лист Баланс")</f>
        <v>Перейти на лист Баланс</v>
      </c>
    </row>
    <row r="51" spans="2:2" x14ac:dyDescent="0.25">
      <c r="B51" s="174" t="str" cm="1">
        <f t="array" aca="1" ref="B51" ca="1">HYPERLINK(CELL("адрес",Дашборд_ИтогТабл!$A$1),"Перейти на лист Дашборд_1")</f>
        <v>Перейти на лист Дашборд_1</v>
      </c>
    </row>
    <row r="52" spans="2:2" ht="30" x14ac:dyDescent="0.25">
      <c r="B52" s="174" t="str" cm="1">
        <f t="array" aca="1" ref="B52" ca="1">HYPERLINK(CELL("адрес",Дашборд_Основной!$A$1),"Перейти на лист Дашборд_Общий")</f>
        <v>Перейти на лист Дашборд_Общий</v>
      </c>
    </row>
    <row r="53" spans="2:2" ht="30" x14ac:dyDescent="0.25">
      <c r="B53" s="174" t="str" cm="1">
        <f t="array" aca="1" ref="B53" ca="1">HYPERLINK(CELL("адрес",Дашборд_налоги!$A$1),"Перейти на лист Дашборд_Налоги")</f>
        <v>Перейти на лист Дашборд_Налоги</v>
      </c>
    </row>
  </sheetData>
  <mergeCells count="4">
    <mergeCell ref="A6:D6"/>
    <mergeCell ref="F6:I6"/>
    <mergeCell ref="J6:M6"/>
    <mergeCell ref="N6:O6"/>
  </mergeCells>
  <hyperlinks>
    <hyperlink ref="I1" location="Контроль!A1" display="Контроль!A1" xr:uid="{A697D832-5566-4CF6-9233-CC0502FEFBBF}"/>
  </hyperlinks>
  <pageMargins left="0.70866141732283472" right="0.70866141732283472" top="0.74803149606299213" bottom="0.74803149606299213" header="0.31496062992125984" footer="0.31496062992125984"/>
  <pageSetup paperSize="9" scale="64" fitToHeight="7" orientation="landscape" r:id="rId1"/>
  <headerFooter>
    <oddFooter>&amp;C&amp;9Страница  &amp;P из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F875FB43-31FB-4C38-8725-32F219524AF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Себестоимость!F16:O16</xm:f>
              <xm:sqref>Q16</xm:sqref>
            </x14:sparkline>
          </x14:sparklines>
        </x14:sparklineGroup>
        <x14:sparklineGroup manualMax="0" manualMin="0" displayEmptyCellsAs="gap" xr2:uid="{1A3D6111-5713-441D-8314-0F9DE9583CF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Себестоимость!F7:O7</xm:f>
              <xm:sqref>Q7</xm:sqref>
            </x14:sparkline>
          </x14:sparklines>
        </x14:sparklineGroup>
        <x14:sparklineGroup manualMax="0" manualMin="0" displayEmptyCellsAs="gap" xr2:uid="{E785EF92-6494-4947-A315-C690AB57613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Себестоимость!F15:O15</xm:f>
              <xm:sqref>Q15</xm:sqref>
            </x14:sparkline>
          </x14:sparklines>
        </x14:sparklineGroup>
        <x14:sparklineGroup manualMax="0" manualMin="0" displayEmptyCellsAs="gap" xr2:uid="{CCAF674E-33FE-46AF-929C-C22691ADA74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Себестоимость!F24:O24</xm:f>
              <xm:sqref>Q24</xm:sqref>
            </x14:sparkline>
          </x14:sparklines>
        </x14:sparklineGroup>
        <x14:sparklineGroup manualMax="0" manualMin="0" displayEmptyCellsAs="gap" xr2:uid="{9CDD4A16-430B-48BF-8BBE-9A72211DB19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Себестоимость!F25:O25</xm:f>
              <xm:sqref>Q25</xm:sqref>
            </x14:sparkline>
          </x14:sparklines>
        </x14:sparklineGroup>
      </x14:sparklineGroup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55DF-C5D1-47A1-A057-AA6E5DCF7805}">
  <sheetPr codeName="Лист17">
    <tabColor theme="9" tint="0.59999389629810485"/>
    <outlinePr summaryBelow="0" summaryRight="0"/>
    <pageSetUpPr fitToPage="1"/>
  </sheetPr>
  <dimension ref="A1:BZ68"/>
  <sheetViews>
    <sheetView zoomScaleNormal="100" workbookViewId="0">
      <pane xSplit="4" ySplit="3" topLeftCell="E4" activePane="bottomRight" state="frozen"/>
      <selection pane="topRight"/>
      <selection pane="bottomLeft"/>
      <selection pane="bottomRight" activeCell="B1" sqref="B1"/>
    </sheetView>
  </sheetViews>
  <sheetFormatPr defaultColWidth="0" defaultRowHeight="15" outlineLevelCol="1" x14ac:dyDescent="0.25"/>
  <cols>
    <col min="1" max="1" width="9.85546875" customWidth="1"/>
    <col min="2" max="2" width="29.8554687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29" width="8.85546875" hidden="1" customWidth="1" outlineLevel="1"/>
    <col min="30" max="30" width="1.5703125" customWidth="1"/>
    <col min="31" max="31" width="35" customWidth="1"/>
    <col min="32" max="34" width="8.85546875" customWidth="1"/>
    <col min="35" max="78" width="0" hidden="1" customWidth="1"/>
    <col min="79" max="16384" width="8.85546875" hidden="1"/>
  </cols>
  <sheetData>
    <row r="1" spans="1:31" ht="25.5" x14ac:dyDescent="0.25">
      <c r="A1" s="690" t="s">
        <v>803</v>
      </c>
      <c r="B1" s="167"/>
      <c r="C1" s="71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158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</row>
    <row r="2" spans="1:31" x14ac:dyDescent="0.25">
      <c r="A2" s="71" t="str">
        <f>Паспорт_ФМ_резидент!B7</f>
        <v>Название инвест. проект 01</v>
      </c>
      <c r="B2" s="167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9"/>
      <c r="T2" s="162">
        <v>11</v>
      </c>
      <c r="U2" s="162">
        <f>T2+1</f>
        <v>12</v>
      </c>
      <c r="V2" s="126">
        <f>U2+1</f>
        <v>13</v>
      </c>
      <c r="W2" s="126">
        <f t="shared" ref="W2:AC3" si="0">V2+1</f>
        <v>14</v>
      </c>
      <c r="X2" s="126">
        <f t="shared" si="0"/>
        <v>15</v>
      </c>
      <c r="Y2" s="126">
        <f t="shared" si="0"/>
        <v>16</v>
      </c>
      <c r="Z2" s="126">
        <f t="shared" si="0"/>
        <v>17</v>
      </c>
      <c r="AA2" s="126">
        <f t="shared" si="0"/>
        <v>18</v>
      </c>
      <c r="AB2" s="126">
        <f t="shared" si="0"/>
        <v>19</v>
      </c>
      <c r="AC2" s="126">
        <f t="shared" si="0"/>
        <v>20</v>
      </c>
      <c r="AD2" s="71"/>
      <c r="AE2" s="71"/>
    </row>
    <row r="3" spans="1:31" s="18" customFormat="1" ht="42.75" x14ac:dyDescent="0.25">
      <c r="A3" s="127" t="s">
        <v>2</v>
      </c>
      <c r="B3" s="236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 t="shared" ref="G3:O3" si="1">F3+1</f>
        <v>2026</v>
      </c>
      <c r="H3" s="127">
        <f t="shared" si="1"/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5"/>
      <c r="Q3" s="127" t="s">
        <v>106</v>
      </c>
      <c r="R3" s="155"/>
      <c r="S3" s="160"/>
      <c r="T3" s="163">
        <v>2035</v>
      </c>
      <c r="U3" s="163">
        <f>T3+1</f>
        <v>2036</v>
      </c>
      <c r="V3" s="163">
        <f>U3+1</f>
        <v>2037</v>
      </c>
      <c r="W3" s="163">
        <f t="shared" si="0"/>
        <v>2038</v>
      </c>
      <c r="X3" s="163">
        <f t="shared" si="0"/>
        <v>2039</v>
      </c>
      <c r="Y3" s="163">
        <f t="shared" si="0"/>
        <v>2040</v>
      </c>
      <c r="Z3" s="163">
        <f t="shared" si="0"/>
        <v>2041</v>
      </c>
      <c r="AA3" s="163">
        <f t="shared" si="0"/>
        <v>2042</v>
      </c>
      <c r="AB3" s="163">
        <f t="shared" si="0"/>
        <v>2043</v>
      </c>
      <c r="AC3" s="163">
        <f t="shared" si="0"/>
        <v>2044</v>
      </c>
      <c r="AD3" s="155"/>
      <c r="AE3" s="236" t="s">
        <v>202</v>
      </c>
    </row>
    <row r="4" spans="1:31" ht="7.15" customHeight="1" x14ac:dyDescent="0.25">
      <c r="A4" s="149"/>
      <c r="B4" s="178"/>
      <c r="C4" s="149"/>
      <c r="D4" s="149"/>
      <c r="E4" s="7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71"/>
      <c r="Q4" s="149"/>
      <c r="R4" s="71"/>
      <c r="S4" s="159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149"/>
    </row>
    <row r="5" spans="1:31" s="13" customFormat="1" ht="15.75" x14ac:dyDescent="0.25">
      <c r="A5" s="850" t="s">
        <v>793</v>
      </c>
      <c r="B5" s="851"/>
      <c r="C5" s="851"/>
      <c r="D5" s="852"/>
      <c r="E5" s="123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3"/>
      <c r="Q5" s="129"/>
      <c r="R5" s="123"/>
      <c r="S5" s="159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129"/>
    </row>
    <row r="6" spans="1:31" x14ac:dyDescent="0.25">
      <c r="A6" s="149"/>
      <c r="B6" s="178"/>
      <c r="C6" s="149"/>
      <c r="D6" s="149"/>
      <c r="E6" s="71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71"/>
      <c r="Q6" s="149"/>
      <c r="R6" s="71"/>
      <c r="S6" s="159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149"/>
    </row>
    <row r="7" spans="1:31" ht="20.100000000000001" customHeight="1" x14ac:dyDescent="0.25">
      <c r="A7" s="149"/>
      <c r="B7" s="577" t="s">
        <v>140</v>
      </c>
      <c r="C7" s="244" t="s">
        <v>138</v>
      </c>
      <c r="D7" s="247" t="s">
        <v>134</v>
      </c>
      <c r="E7" s="71"/>
      <c r="F7" s="228">
        <f>SUM(F8:F9)</f>
        <v>2</v>
      </c>
      <c r="G7" s="228">
        <f t="shared" ref="G7:O7" si="2">SUM(G8:G9)</f>
        <v>2</v>
      </c>
      <c r="H7" s="228">
        <f t="shared" si="2"/>
        <v>26</v>
      </c>
      <c r="I7" s="228">
        <f t="shared" si="2"/>
        <v>26</v>
      </c>
      <c r="J7" s="228">
        <f t="shared" si="2"/>
        <v>26</v>
      </c>
      <c r="K7" s="228">
        <f t="shared" si="2"/>
        <v>26</v>
      </c>
      <c r="L7" s="228">
        <f t="shared" si="2"/>
        <v>26</v>
      </c>
      <c r="M7" s="228">
        <f t="shared" si="2"/>
        <v>26</v>
      </c>
      <c r="N7" s="228">
        <f t="shared" si="2"/>
        <v>26</v>
      </c>
      <c r="O7" s="228">
        <f t="shared" si="2"/>
        <v>26</v>
      </c>
      <c r="P7" s="71"/>
      <c r="Q7" s="71"/>
      <c r="R7" s="71"/>
      <c r="S7" s="159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149"/>
    </row>
    <row r="8" spans="1:31" ht="30" x14ac:dyDescent="0.25">
      <c r="A8" s="226" t="str" cm="1">
        <f t="array" aca="1" ref="A8" ca="1">HYPERLINK(CELL("адрес",Исходные!A71),"источник")</f>
        <v>источник</v>
      </c>
      <c r="B8" s="178" t="s">
        <v>139</v>
      </c>
      <c r="C8" s="244" t="s">
        <v>138</v>
      </c>
      <c r="D8" s="247" t="s">
        <v>134</v>
      </c>
      <c r="E8" s="71"/>
      <c r="F8" s="230">
        <f>Исходные!F71</f>
        <v>0</v>
      </c>
      <c r="G8" s="230">
        <f>Исходные!G71</f>
        <v>0</v>
      </c>
      <c r="H8" s="230">
        <f>Исходные!H71</f>
        <v>20</v>
      </c>
      <c r="I8" s="152">
        <f>Исходные!I71</f>
        <v>20</v>
      </c>
      <c r="J8" s="152">
        <f>Исходные!J71</f>
        <v>20</v>
      </c>
      <c r="K8" s="152">
        <f>Исходные!K71</f>
        <v>20</v>
      </c>
      <c r="L8" s="152">
        <f>Исходные!L71</f>
        <v>20</v>
      </c>
      <c r="M8" s="152">
        <f>Исходные!M71</f>
        <v>20</v>
      </c>
      <c r="N8" s="152">
        <f>Исходные!N71</f>
        <v>20</v>
      </c>
      <c r="O8" s="152">
        <f>Исходные!O71</f>
        <v>20</v>
      </c>
      <c r="P8" s="71"/>
      <c r="Q8" s="71"/>
      <c r="R8" s="71"/>
      <c r="S8" s="15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149"/>
    </row>
    <row r="9" spans="1:31" ht="30" x14ac:dyDescent="0.25">
      <c r="A9" s="226" t="str" cm="1">
        <f t="array" aca="1" ref="A9" ca="1">HYPERLINK(CELL("адрес",Исходные!A72),"источник")</f>
        <v>источник</v>
      </c>
      <c r="B9" s="178" t="s">
        <v>149</v>
      </c>
      <c r="C9" s="244" t="s">
        <v>138</v>
      </c>
      <c r="D9" s="247" t="s">
        <v>134</v>
      </c>
      <c r="E9" s="71"/>
      <c r="F9" s="230">
        <f>Исходные!F72</f>
        <v>2</v>
      </c>
      <c r="G9" s="230">
        <f>Исходные!G72</f>
        <v>2</v>
      </c>
      <c r="H9" s="230">
        <f>Исходные!H72</f>
        <v>6</v>
      </c>
      <c r="I9" s="152">
        <f>Исходные!I72</f>
        <v>6</v>
      </c>
      <c r="J9" s="152">
        <f>Исходные!J72</f>
        <v>6</v>
      </c>
      <c r="K9" s="152">
        <f>Исходные!K72</f>
        <v>6</v>
      </c>
      <c r="L9" s="152">
        <f>Исходные!L72</f>
        <v>6</v>
      </c>
      <c r="M9" s="152">
        <f>Исходные!M72</f>
        <v>6</v>
      </c>
      <c r="N9" s="152">
        <f>Исходные!N72</f>
        <v>6</v>
      </c>
      <c r="O9" s="152">
        <f>Исходные!O72</f>
        <v>6</v>
      </c>
      <c r="P9" s="71"/>
      <c r="Q9" s="71"/>
      <c r="R9" s="71"/>
      <c r="S9" s="15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149"/>
    </row>
    <row r="10" spans="1:31" x14ac:dyDescent="0.25">
      <c r="A10" s="149"/>
      <c r="B10" s="240"/>
      <c r="C10" s="244"/>
      <c r="D10" s="149"/>
      <c r="E10" s="71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71"/>
      <c r="Q10" s="149"/>
      <c r="R10" s="71"/>
      <c r="S10" s="15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149"/>
    </row>
    <row r="11" spans="1:31" x14ac:dyDescent="0.25">
      <c r="A11" s="149"/>
      <c r="B11" s="577" t="s">
        <v>147</v>
      </c>
      <c r="C11" s="149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49"/>
      <c r="R11" s="71"/>
      <c r="S11" s="15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49"/>
    </row>
    <row r="12" spans="1:31" ht="45" x14ac:dyDescent="0.25">
      <c r="A12" s="226" t="str" cm="1">
        <f t="array" aca="1" ref="A12" ca="1">HYPERLINK(CELL("адрес",Макро!A80),"источник")</f>
        <v>источник</v>
      </c>
      <c r="B12" s="178" t="s">
        <v>146</v>
      </c>
      <c r="C12" s="244" t="s">
        <v>19</v>
      </c>
      <c r="D12" s="242" t="s">
        <v>134</v>
      </c>
      <c r="E12" s="71"/>
      <c r="F12" s="231">
        <f>Макро!F80</f>
        <v>80</v>
      </c>
      <c r="G12" s="231">
        <f>Макро!G80</f>
        <v>81.92</v>
      </c>
      <c r="H12" s="231">
        <f>Макро!H80</f>
        <v>83.886080000000007</v>
      </c>
      <c r="I12" s="231">
        <f>Макро!I80</f>
        <v>86.151004159999999</v>
      </c>
      <c r="J12" s="231">
        <f>Макро!J80</f>
        <v>88.477081272319992</v>
      </c>
      <c r="K12" s="231">
        <f>Макро!K80</f>
        <v>90.865962466672627</v>
      </c>
      <c r="L12" s="231">
        <f>Макро!L80</f>
        <v>93.228477490806114</v>
      </c>
      <c r="M12" s="231">
        <f>Макро!M80</f>
        <v>95.652417905567077</v>
      </c>
      <c r="N12" s="231">
        <f>Макро!N80</f>
        <v>98.139380771111817</v>
      </c>
      <c r="O12" s="231">
        <f>Макро!O80</f>
        <v>100.69100467116073</v>
      </c>
      <c r="P12" s="71"/>
      <c r="Q12" s="149"/>
      <c r="R12" s="71"/>
      <c r="S12" s="159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149"/>
    </row>
    <row r="13" spans="1:31" ht="45" x14ac:dyDescent="0.25">
      <c r="A13" s="226" t="str" cm="1">
        <f t="array" aca="1" ref="A13" ca="1">HYPERLINK(CELL("адрес",Макро!A81),"источник")</f>
        <v>источник</v>
      </c>
      <c r="B13" s="178" t="s">
        <v>145</v>
      </c>
      <c r="C13" s="244" t="s">
        <v>19</v>
      </c>
      <c r="D13" s="242" t="s">
        <v>134</v>
      </c>
      <c r="E13" s="71"/>
      <c r="F13" s="231">
        <f>Макро!F81</f>
        <v>120</v>
      </c>
      <c r="G13" s="231">
        <f>Макро!G81</f>
        <v>122.88</v>
      </c>
      <c r="H13" s="231">
        <f>Макро!H81</f>
        <v>125.82912</v>
      </c>
      <c r="I13" s="231">
        <f>Макро!I81</f>
        <v>129.22650623999999</v>
      </c>
      <c r="J13" s="231">
        <f>Макро!J81</f>
        <v>132.71562190847999</v>
      </c>
      <c r="K13" s="231">
        <f>Макро!K81</f>
        <v>136.29894370000895</v>
      </c>
      <c r="L13" s="231">
        <f>Макро!L81</f>
        <v>139.84271623620918</v>
      </c>
      <c r="M13" s="231">
        <f>Макро!M81</f>
        <v>143.47862685835062</v>
      </c>
      <c r="N13" s="231">
        <f>Макро!N81</f>
        <v>147.20907115666773</v>
      </c>
      <c r="O13" s="231">
        <f>Макро!O81</f>
        <v>151.03650700674109</v>
      </c>
      <c r="P13" s="71"/>
      <c r="Q13" s="149"/>
      <c r="R13" s="71"/>
      <c r="S13" s="159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149"/>
    </row>
    <row r="14" spans="1:31" x14ac:dyDescent="0.25">
      <c r="A14" s="226"/>
      <c r="B14" s="240" t="s">
        <v>553</v>
      </c>
      <c r="C14" s="244" t="s">
        <v>19</v>
      </c>
      <c r="D14" s="242"/>
      <c r="E14" s="71"/>
      <c r="F14" s="233">
        <f>ROUND(F16/F7/12,0)</f>
        <v>120</v>
      </c>
      <c r="G14" s="233">
        <f t="shared" ref="G14:O14" si="3">ROUND(G16/G7/12,0)</f>
        <v>123</v>
      </c>
      <c r="H14" s="233">
        <f t="shared" si="3"/>
        <v>94</v>
      </c>
      <c r="I14" s="233">
        <f t="shared" si="3"/>
        <v>96</v>
      </c>
      <c r="J14" s="233">
        <f t="shared" si="3"/>
        <v>99</v>
      </c>
      <c r="K14" s="233">
        <f t="shared" si="3"/>
        <v>101</v>
      </c>
      <c r="L14" s="233">
        <f t="shared" si="3"/>
        <v>104</v>
      </c>
      <c r="M14" s="233">
        <f t="shared" si="3"/>
        <v>107</v>
      </c>
      <c r="N14" s="233">
        <f t="shared" si="3"/>
        <v>109</v>
      </c>
      <c r="O14" s="233">
        <f t="shared" si="3"/>
        <v>112</v>
      </c>
      <c r="P14" s="71"/>
      <c r="Q14" s="149"/>
      <c r="R14" s="71"/>
      <c r="S14" s="159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149"/>
    </row>
    <row r="15" spans="1:31" x14ac:dyDescent="0.25">
      <c r="A15" s="149"/>
      <c r="B15" s="178"/>
      <c r="C15" s="149"/>
      <c r="D15" s="149"/>
      <c r="E15" s="71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71"/>
      <c r="Q15" s="149"/>
      <c r="R15" s="71"/>
      <c r="S15" s="15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149"/>
    </row>
    <row r="16" spans="1:31" x14ac:dyDescent="0.25">
      <c r="A16" s="149"/>
      <c r="B16" s="577" t="s">
        <v>151</v>
      </c>
      <c r="C16" s="244" t="s">
        <v>19</v>
      </c>
      <c r="D16" s="248">
        <f>SUM(F16:O16)</f>
        <v>262336.93024069816</v>
      </c>
      <c r="E16" s="71"/>
      <c r="F16" s="228">
        <f>SUM(F17:F18)</f>
        <v>2880</v>
      </c>
      <c r="G16" s="228">
        <f t="shared" ref="G16:O16" si="4">SUM(G17:G18)</f>
        <v>2949.12</v>
      </c>
      <c r="H16" s="228">
        <f t="shared" si="4"/>
        <v>29192.355840000004</v>
      </c>
      <c r="I16" s="228">
        <f t="shared" si="4"/>
        <v>29980.549447680001</v>
      </c>
      <c r="J16" s="228">
        <f t="shared" si="4"/>
        <v>30790.024282767357</v>
      </c>
      <c r="K16" s="228">
        <f t="shared" si="4"/>
        <v>31621.354938402073</v>
      </c>
      <c r="L16" s="228">
        <f t="shared" si="4"/>
        <v>32443.510166800526</v>
      </c>
      <c r="M16" s="228">
        <f t="shared" si="4"/>
        <v>33287.041431137346</v>
      </c>
      <c r="N16" s="228">
        <f t="shared" si="4"/>
        <v>34152.504508346916</v>
      </c>
      <c r="O16" s="228">
        <f t="shared" si="4"/>
        <v>35040.469625563928</v>
      </c>
      <c r="P16" s="71"/>
      <c r="Q16" s="149"/>
      <c r="R16" s="71"/>
      <c r="S16" s="15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149"/>
    </row>
    <row r="17" spans="1:31" ht="30" x14ac:dyDescent="0.25">
      <c r="A17" s="149"/>
      <c r="B17" s="178" t="s">
        <v>148</v>
      </c>
      <c r="C17" s="244" t="s">
        <v>19</v>
      </c>
      <c r="D17" s="248">
        <f>SUM(F17:O17)</f>
        <v>176901.93809703321</v>
      </c>
      <c r="E17" s="71"/>
      <c r="F17" s="152">
        <f t="shared" ref="F17:O17" si="5">F8*F12*12</f>
        <v>0</v>
      </c>
      <c r="G17" s="152">
        <f t="shared" si="5"/>
        <v>0</v>
      </c>
      <c r="H17" s="152">
        <f t="shared" si="5"/>
        <v>20132.659200000002</v>
      </c>
      <c r="I17" s="152">
        <f t="shared" si="5"/>
        <v>20676.240998400001</v>
      </c>
      <c r="J17" s="152">
        <f t="shared" si="5"/>
        <v>21234.499505356798</v>
      </c>
      <c r="K17" s="152">
        <f t="shared" si="5"/>
        <v>21807.830992001429</v>
      </c>
      <c r="L17" s="152">
        <f t="shared" si="5"/>
        <v>22374.834597793466</v>
      </c>
      <c r="M17" s="152">
        <f t="shared" si="5"/>
        <v>22956.580297336099</v>
      </c>
      <c r="N17" s="152">
        <f t="shared" si="5"/>
        <v>23553.451385066837</v>
      </c>
      <c r="O17" s="152">
        <f t="shared" si="5"/>
        <v>24165.841121078574</v>
      </c>
      <c r="P17" s="71"/>
      <c r="Q17" s="71"/>
      <c r="R17" s="71"/>
      <c r="S17" s="15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149"/>
    </row>
    <row r="18" spans="1:31" x14ac:dyDescent="0.25">
      <c r="A18" s="149"/>
      <c r="B18" s="178" t="s">
        <v>150</v>
      </c>
      <c r="C18" s="244" t="s">
        <v>19</v>
      </c>
      <c r="D18" s="248">
        <f>SUM(F18:O18)</f>
        <v>85434.992143664946</v>
      </c>
      <c r="E18" s="71"/>
      <c r="F18" s="152">
        <f t="shared" ref="F18:O18" si="6">F9*F13*12</f>
        <v>2880</v>
      </c>
      <c r="G18" s="152">
        <f t="shared" si="6"/>
        <v>2949.12</v>
      </c>
      <c r="H18" s="152">
        <f t="shared" si="6"/>
        <v>9059.6966400000001</v>
      </c>
      <c r="I18" s="152">
        <f t="shared" si="6"/>
        <v>9304.308449279999</v>
      </c>
      <c r="J18" s="152">
        <f t="shared" si="6"/>
        <v>9555.5247774105592</v>
      </c>
      <c r="K18" s="152">
        <f t="shared" si="6"/>
        <v>9813.5239464006445</v>
      </c>
      <c r="L18" s="152">
        <f t="shared" si="6"/>
        <v>10068.67556900706</v>
      </c>
      <c r="M18" s="152">
        <f t="shared" si="6"/>
        <v>10330.461133801246</v>
      </c>
      <c r="N18" s="152">
        <f t="shared" si="6"/>
        <v>10599.053123280077</v>
      </c>
      <c r="O18" s="152">
        <f t="shared" si="6"/>
        <v>10874.628504485358</v>
      </c>
      <c r="P18" s="71"/>
      <c r="Q18" s="71"/>
      <c r="R18" s="71"/>
      <c r="S18" s="159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149"/>
    </row>
    <row r="19" spans="1:31" x14ac:dyDescent="0.25">
      <c r="A19" s="149"/>
      <c r="B19" s="178"/>
      <c r="C19" s="244"/>
      <c r="D19" s="248"/>
      <c r="E19" s="71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71"/>
      <c r="Q19" s="71"/>
      <c r="R19" s="71"/>
      <c r="S19" s="159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149"/>
    </row>
    <row r="20" spans="1:31" x14ac:dyDescent="0.25">
      <c r="A20" s="149"/>
      <c r="B20" s="178"/>
      <c r="C20" s="149"/>
      <c r="D20" s="149"/>
      <c r="E20" s="71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71"/>
      <c r="Q20" s="149"/>
      <c r="R20" s="71"/>
      <c r="S20" s="15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149"/>
    </row>
    <row r="21" spans="1:31" x14ac:dyDescent="0.25">
      <c r="A21" s="609" t="s">
        <v>790</v>
      </c>
      <c r="B21" s="611"/>
      <c r="C21" s="614"/>
      <c r="D21" s="614"/>
      <c r="E21" s="71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159"/>
      <c r="Q21" s="71"/>
      <c r="R21" s="71"/>
      <c r="S21" s="159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</row>
    <row r="22" spans="1:31" x14ac:dyDescent="0.25">
      <c r="A22" s="149"/>
      <c r="B22" s="178"/>
      <c r="C22" s="149"/>
      <c r="D22" s="149"/>
      <c r="E22" s="71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71"/>
      <c r="Q22" s="149"/>
      <c r="R22" s="71"/>
      <c r="S22" s="159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149"/>
    </row>
    <row r="23" spans="1:31" x14ac:dyDescent="0.25">
      <c r="A23" s="226" t="str" cm="1">
        <f t="array" aca="1" ref="A23" ca="1">HYPERLINK(CELL("адрес",Макро!A59),"источник")</f>
        <v>источник</v>
      </c>
      <c r="B23" s="178" t="s">
        <v>127</v>
      </c>
      <c r="C23" s="191" t="s">
        <v>27</v>
      </c>
      <c r="D23" s="242" t="s">
        <v>134</v>
      </c>
      <c r="E23" s="71"/>
      <c r="F23" s="742">
        <f>Макро!F59</f>
        <v>0.30399999999999999</v>
      </c>
      <c r="G23" s="742">
        <f>Макро!G59</f>
        <v>0.30399999999999999</v>
      </c>
      <c r="H23" s="742">
        <f>Макро!H59</f>
        <v>0.30399999999999999</v>
      </c>
      <c r="I23" s="742">
        <f>Макро!I59</f>
        <v>0.30399999999999999</v>
      </c>
      <c r="J23" s="742">
        <f>Макро!J59</f>
        <v>0.30399999999999999</v>
      </c>
      <c r="K23" s="742">
        <f>Макро!K59</f>
        <v>0.30399999999999999</v>
      </c>
      <c r="L23" s="742">
        <f>Макро!L59</f>
        <v>0.30399999999999999</v>
      </c>
      <c r="M23" s="742">
        <f>Макро!M59</f>
        <v>0.30399999999999999</v>
      </c>
      <c r="N23" s="742">
        <f>Макро!N59</f>
        <v>0.30399999999999999</v>
      </c>
      <c r="O23" s="742">
        <f>Макро!O59</f>
        <v>0.30399999999999999</v>
      </c>
      <c r="P23" s="71"/>
      <c r="Q23" s="149"/>
      <c r="R23" s="71"/>
      <c r="S23" s="159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149"/>
    </row>
    <row r="24" spans="1:31" x14ac:dyDescent="0.25">
      <c r="A24" s="149"/>
      <c r="B24" s="178"/>
      <c r="C24" s="149"/>
      <c r="D24" s="149"/>
      <c r="E24" s="71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71"/>
      <c r="Q24" s="149"/>
      <c r="R24" s="71"/>
      <c r="S24" s="159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149"/>
    </row>
    <row r="25" spans="1:31" ht="29.25" x14ac:dyDescent="0.25">
      <c r="A25" s="149"/>
      <c r="B25" s="577" t="s">
        <v>152</v>
      </c>
      <c r="C25" s="244" t="s">
        <v>19</v>
      </c>
      <c r="D25" s="248">
        <f>SUM(F25:O25)</f>
        <v>79750.426793172228</v>
      </c>
      <c r="E25" s="71"/>
      <c r="F25" s="228">
        <f>SUM(F26:F27)</f>
        <v>875.52</v>
      </c>
      <c r="G25" s="228">
        <f t="shared" ref="G25:O25" si="7">SUM(G26:G27)</f>
        <v>896.53247999999996</v>
      </c>
      <c r="H25" s="228">
        <f t="shared" si="7"/>
        <v>8874.4761753599996</v>
      </c>
      <c r="I25" s="228">
        <f t="shared" si="7"/>
        <v>9114.0870320947197</v>
      </c>
      <c r="J25" s="228">
        <f t="shared" si="7"/>
        <v>9360.167381961277</v>
      </c>
      <c r="K25" s="228">
        <f t="shared" si="7"/>
        <v>9612.8919012742299</v>
      </c>
      <c r="L25" s="228">
        <f t="shared" si="7"/>
        <v>9862.8270907073602</v>
      </c>
      <c r="M25" s="228">
        <f t="shared" si="7"/>
        <v>10119.260595065753</v>
      </c>
      <c r="N25" s="228">
        <f t="shared" si="7"/>
        <v>10382.361370537463</v>
      </c>
      <c r="O25" s="228">
        <f t="shared" si="7"/>
        <v>10652.302766171435</v>
      </c>
      <c r="P25" s="71"/>
      <c r="Q25" s="149"/>
      <c r="R25" s="71"/>
      <c r="S25" s="159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149"/>
    </row>
    <row r="26" spans="1:31" ht="30" x14ac:dyDescent="0.25">
      <c r="A26" s="149"/>
      <c r="B26" s="178" t="s">
        <v>148</v>
      </c>
      <c r="C26" s="244" t="s">
        <v>19</v>
      </c>
      <c r="D26" s="248">
        <f>SUM(F26:O26)</f>
        <v>53778.189181498092</v>
      </c>
      <c r="E26" s="71"/>
      <c r="F26" s="152">
        <f t="shared" ref="F26:O26" si="8">F17*F23</f>
        <v>0</v>
      </c>
      <c r="G26" s="152">
        <f t="shared" si="8"/>
        <v>0</v>
      </c>
      <c r="H26" s="152">
        <f t="shared" si="8"/>
        <v>6120.3283968000005</v>
      </c>
      <c r="I26" s="152">
        <f t="shared" si="8"/>
        <v>6285.5772635136</v>
      </c>
      <c r="J26" s="152">
        <f t="shared" si="8"/>
        <v>6455.2878496284666</v>
      </c>
      <c r="K26" s="152">
        <f t="shared" si="8"/>
        <v>6629.5806215684343</v>
      </c>
      <c r="L26" s="152">
        <f t="shared" si="8"/>
        <v>6801.9497177292133</v>
      </c>
      <c r="M26" s="152">
        <f t="shared" si="8"/>
        <v>6978.800410390174</v>
      </c>
      <c r="N26" s="152">
        <f t="shared" si="8"/>
        <v>7160.2492210603186</v>
      </c>
      <c r="O26" s="152">
        <f t="shared" si="8"/>
        <v>7346.4157008078864</v>
      </c>
      <c r="P26" s="71"/>
      <c r="Q26" s="71"/>
      <c r="R26" s="71"/>
      <c r="S26" s="15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149"/>
    </row>
    <row r="27" spans="1:31" x14ac:dyDescent="0.25">
      <c r="A27" s="149"/>
      <c r="B27" s="178" t="s">
        <v>150</v>
      </c>
      <c r="C27" s="244" t="s">
        <v>19</v>
      </c>
      <c r="D27" s="248">
        <f>SUM(F27:O27)</f>
        <v>25972.237611674143</v>
      </c>
      <c r="E27" s="71"/>
      <c r="F27" s="152">
        <f t="shared" ref="F27:O27" si="9">F18*F23</f>
        <v>875.52</v>
      </c>
      <c r="G27" s="152">
        <f t="shared" si="9"/>
        <v>896.53247999999996</v>
      </c>
      <c r="H27" s="152">
        <f t="shared" si="9"/>
        <v>2754.14777856</v>
      </c>
      <c r="I27" s="152">
        <f t="shared" si="9"/>
        <v>2828.5097685811197</v>
      </c>
      <c r="J27" s="152">
        <f t="shared" si="9"/>
        <v>2904.87953233281</v>
      </c>
      <c r="K27" s="152">
        <f t="shared" si="9"/>
        <v>2983.3112797057956</v>
      </c>
      <c r="L27" s="152">
        <f t="shared" si="9"/>
        <v>3060.8773729781465</v>
      </c>
      <c r="M27" s="152">
        <f t="shared" si="9"/>
        <v>3140.4601846755786</v>
      </c>
      <c r="N27" s="152">
        <f t="shared" si="9"/>
        <v>3222.1121494771432</v>
      </c>
      <c r="O27" s="152">
        <f t="shared" si="9"/>
        <v>3305.8870653635486</v>
      </c>
      <c r="P27" s="71"/>
      <c r="Q27" s="71"/>
      <c r="R27" s="71"/>
      <c r="S27" s="159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149"/>
    </row>
    <row r="28" spans="1:31" x14ac:dyDescent="0.25">
      <c r="A28" s="149"/>
      <c r="B28" s="178"/>
      <c r="C28" s="244"/>
      <c r="D28" s="248"/>
      <c r="E28" s="71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71"/>
      <c r="Q28" s="71"/>
      <c r="R28" s="71"/>
      <c r="S28" s="159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133"/>
    </row>
    <row r="29" spans="1:31" ht="43.5" x14ac:dyDescent="0.25">
      <c r="A29" s="149"/>
      <c r="B29" s="577" t="s">
        <v>317</v>
      </c>
      <c r="C29" s="244" t="s">
        <v>19</v>
      </c>
      <c r="D29" s="248">
        <f>SUM(F29:O29)</f>
        <v>342087.35703387042</v>
      </c>
      <c r="E29" s="71"/>
      <c r="F29" s="228">
        <f>SUM(F30:F31)</f>
        <v>3755.52</v>
      </c>
      <c r="G29" s="228">
        <f t="shared" ref="G29:O29" si="10">SUM(G30:G31)</f>
        <v>3845.6524799999997</v>
      </c>
      <c r="H29" s="228">
        <f t="shared" si="10"/>
        <v>38066.83201536</v>
      </c>
      <c r="I29" s="228">
        <f t="shared" si="10"/>
        <v>39094.636479774716</v>
      </c>
      <c r="J29" s="228">
        <f t="shared" si="10"/>
        <v>40150.191664728634</v>
      </c>
      <c r="K29" s="228">
        <f t="shared" si="10"/>
        <v>41234.2468396763</v>
      </c>
      <c r="L29" s="228">
        <f t="shared" si="10"/>
        <v>42306.337257507883</v>
      </c>
      <c r="M29" s="228">
        <f t="shared" si="10"/>
        <v>43406.302026203091</v>
      </c>
      <c r="N29" s="228">
        <f t="shared" si="10"/>
        <v>44534.865878884375</v>
      </c>
      <c r="O29" s="228">
        <f t="shared" si="10"/>
        <v>45692.772391735372</v>
      </c>
      <c r="P29" s="71"/>
      <c r="Q29" s="149"/>
      <c r="R29" s="71"/>
      <c r="S29" s="15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133"/>
    </row>
    <row r="30" spans="1:31" ht="30" x14ac:dyDescent="0.25">
      <c r="A30" s="149"/>
      <c r="B30" s="178" t="s">
        <v>148</v>
      </c>
      <c r="C30" s="244" t="s">
        <v>19</v>
      </c>
      <c r="D30" s="248">
        <f>SUM(F30:O30)</f>
        <v>230680.12727853129</v>
      </c>
      <c r="E30" s="71"/>
      <c r="F30" s="152">
        <f t="shared" ref="F30:O30" si="11">F17+F26</f>
        <v>0</v>
      </c>
      <c r="G30" s="152">
        <f t="shared" si="11"/>
        <v>0</v>
      </c>
      <c r="H30" s="152">
        <f t="shared" si="11"/>
        <v>26252.987596800001</v>
      </c>
      <c r="I30" s="152">
        <f t="shared" si="11"/>
        <v>26961.818261913599</v>
      </c>
      <c r="J30" s="152">
        <f t="shared" si="11"/>
        <v>27689.787354985267</v>
      </c>
      <c r="K30" s="152">
        <f t="shared" si="11"/>
        <v>28437.411613569864</v>
      </c>
      <c r="L30" s="152">
        <f t="shared" si="11"/>
        <v>29176.78431552268</v>
      </c>
      <c r="M30" s="152">
        <f t="shared" si="11"/>
        <v>29935.380707726272</v>
      </c>
      <c r="N30" s="152">
        <f t="shared" si="11"/>
        <v>30713.700606127157</v>
      </c>
      <c r="O30" s="152">
        <f t="shared" si="11"/>
        <v>31512.256821886462</v>
      </c>
      <c r="P30" s="71"/>
      <c r="Q30" s="71"/>
      <c r="R30" s="71"/>
      <c r="S30" s="159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133"/>
    </row>
    <row r="31" spans="1:31" x14ac:dyDescent="0.25">
      <c r="A31" s="149"/>
      <c r="B31" s="178" t="s">
        <v>150</v>
      </c>
      <c r="C31" s="244" t="s">
        <v>19</v>
      </c>
      <c r="D31" s="248">
        <f>SUM(F31:O31)</f>
        <v>111407.22975533908</v>
      </c>
      <c r="E31" s="71"/>
      <c r="F31" s="152">
        <f t="shared" ref="F31:O31" si="12">F18+F27</f>
        <v>3755.52</v>
      </c>
      <c r="G31" s="152">
        <f t="shared" si="12"/>
        <v>3845.6524799999997</v>
      </c>
      <c r="H31" s="152">
        <f t="shared" si="12"/>
        <v>11813.84441856</v>
      </c>
      <c r="I31" s="152">
        <f t="shared" si="12"/>
        <v>12132.818217861119</v>
      </c>
      <c r="J31" s="152">
        <f t="shared" si="12"/>
        <v>12460.40430974337</v>
      </c>
      <c r="K31" s="152">
        <f t="shared" si="12"/>
        <v>12796.835226106439</v>
      </c>
      <c r="L31" s="152">
        <f t="shared" si="12"/>
        <v>13129.552941985206</v>
      </c>
      <c r="M31" s="152">
        <f t="shared" si="12"/>
        <v>13470.921318476823</v>
      </c>
      <c r="N31" s="152">
        <f t="shared" si="12"/>
        <v>13821.16527275722</v>
      </c>
      <c r="O31" s="152">
        <f t="shared" si="12"/>
        <v>14180.515569848907</v>
      </c>
      <c r="P31" s="71"/>
      <c r="Q31" s="71"/>
      <c r="R31" s="71"/>
      <c r="S31" s="159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133"/>
    </row>
    <row r="32" spans="1:31" x14ac:dyDescent="0.25">
      <c r="A32" s="149"/>
      <c r="B32" s="178"/>
      <c r="C32" s="244"/>
      <c r="D32" s="248"/>
      <c r="E32" s="71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71"/>
      <c r="Q32" s="71"/>
      <c r="R32" s="71"/>
      <c r="S32" s="15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33"/>
    </row>
    <row r="33" spans="1:31" x14ac:dyDescent="0.25">
      <c r="A33" s="149"/>
      <c r="B33" s="178"/>
      <c r="C33" s="244"/>
      <c r="D33" s="248"/>
      <c r="E33" s="7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71"/>
      <c r="Q33" s="71"/>
      <c r="R33" s="71"/>
      <c r="S33" s="15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133"/>
    </row>
    <row r="34" spans="1:31" x14ac:dyDescent="0.25">
      <c r="A34" s="609" t="s">
        <v>791</v>
      </c>
      <c r="B34" s="611"/>
      <c r="C34" s="614"/>
      <c r="D34" s="614"/>
      <c r="E34" s="71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159"/>
      <c r="Q34" s="71"/>
      <c r="R34" s="71"/>
      <c r="S34" s="159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</row>
    <row r="35" spans="1:31" x14ac:dyDescent="0.25">
      <c r="A35" s="149"/>
      <c r="B35" s="178"/>
      <c r="C35" s="244"/>
      <c r="D35" s="248"/>
      <c r="E35" s="71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71"/>
      <c r="Q35" s="71"/>
      <c r="R35" s="71"/>
      <c r="S35" s="159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133"/>
    </row>
    <row r="36" spans="1:31" x14ac:dyDescent="0.25">
      <c r="A36" s="226" t="str" cm="1">
        <f t="array" aca="1" ref="A36" ca="1">HYPERLINK(CELL("адрес",Макро!A62),"источник")</f>
        <v>источник</v>
      </c>
      <c r="B36" s="178" t="s">
        <v>308</v>
      </c>
      <c r="C36" s="191" t="s">
        <v>27</v>
      </c>
      <c r="D36" s="242" t="s">
        <v>134</v>
      </c>
      <c r="E36" s="71"/>
      <c r="F36" s="742">
        <f>Макро!F62</f>
        <v>7.5999999999999998E-2</v>
      </c>
      <c r="G36" s="742">
        <f>Макро!G62</f>
        <v>7.5999999999999998E-2</v>
      </c>
      <c r="H36" s="742">
        <f>Макро!H62</f>
        <v>7.5999999999999998E-2</v>
      </c>
      <c r="I36" s="742">
        <f>Макро!I62</f>
        <v>7.5999999999999998E-2</v>
      </c>
      <c r="J36" s="742">
        <f>Макро!J62</f>
        <v>7.5999999999999998E-2</v>
      </c>
      <c r="K36" s="742">
        <f>Макро!K62</f>
        <v>7.5999999999999998E-2</v>
      </c>
      <c r="L36" s="742">
        <f>Макро!L62</f>
        <v>7.5999999999999998E-2</v>
      </c>
      <c r="M36" s="742">
        <f>Макро!M62</f>
        <v>7.5999999999999998E-2</v>
      </c>
      <c r="N36" s="742">
        <f>Макро!N62</f>
        <v>7.5999999999999998E-2</v>
      </c>
      <c r="O36" s="742">
        <f>Макро!O62</f>
        <v>7.5999999999999998E-2</v>
      </c>
      <c r="P36" s="71"/>
      <c r="Q36" s="71"/>
      <c r="R36" s="71"/>
      <c r="S36" s="159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133"/>
    </row>
    <row r="37" spans="1:31" x14ac:dyDescent="0.25">
      <c r="A37" s="149"/>
      <c r="B37" s="178"/>
      <c r="C37" s="244"/>
      <c r="D37" s="248"/>
      <c r="E37" s="71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71"/>
      <c r="Q37" s="71"/>
      <c r="R37" s="71"/>
      <c r="S37" s="15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133"/>
    </row>
    <row r="38" spans="1:31" ht="29.25" x14ac:dyDescent="0.25">
      <c r="A38" s="149"/>
      <c r="B38" s="577" t="s">
        <v>309</v>
      </c>
      <c r="C38" s="244" t="s">
        <v>19</v>
      </c>
      <c r="D38" s="248">
        <f>SUM(F38:O38)</f>
        <v>19937.606698293057</v>
      </c>
      <c r="E38" s="71"/>
      <c r="F38" s="228">
        <f>SUM(F39:F40)</f>
        <v>218.88</v>
      </c>
      <c r="G38" s="228">
        <f t="shared" ref="G38:O38" si="13">SUM(G39:G40)</f>
        <v>224.13311999999999</v>
      </c>
      <c r="H38" s="228">
        <f t="shared" si="13"/>
        <v>2218.6190438399999</v>
      </c>
      <c r="I38" s="228">
        <f t="shared" si="13"/>
        <v>2278.5217580236799</v>
      </c>
      <c r="J38" s="228">
        <f t="shared" si="13"/>
        <v>2340.0418454903192</v>
      </c>
      <c r="K38" s="228">
        <f t="shared" si="13"/>
        <v>2403.2229753185575</v>
      </c>
      <c r="L38" s="228">
        <f t="shared" si="13"/>
        <v>2465.70677267684</v>
      </c>
      <c r="M38" s="228">
        <f t="shared" si="13"/>
        <v>2529.8151487664381</v>
      </c>
      <c r="N38" s="228">
        <f t="shared" si="13"/>
        <v>2595.5903426343657</v>
      </c>
      <c r="O38" s="228">
        <f t="shared" si="13"/>
        <v>2663.0756915428587</v>
      </c>
      <c r="P38" s="71"/>
      <c r="Q38" s="149"/>
      <c r="R38" s="71"/>
      <c r="S38" s="159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149"/>
    </row>
    <row r="39" spans="1:31" ht="30" x14ac:dyDescent="0.25">
      <c r="A39" s="149"/>
      <c r="B39" s="178" t="s">
        <v>148</v>
      </c>
      <c r="C39" s="244" t="s">
        <v>19</v>
      </c>
      <c r="D39" s="248">
        <f>SUM(F39:O39)</f>
        <v>13444.547295374523</v>
      </c>
      <c r="E39" s="71"/>
      <c r="F39" s="152">
        <f t="shared" ref="F39:O39" si="14">F17*F36</f>
        <v>0</v>
      </c>
      <c r="G39" s="152">
        <f t="shared" si="14"/>
        <v>0</v>
      </c>
      <c r="H39" s="152">
        <f t="shared" si="14"/>
        <v>1530.0820992000001</v>
      </c>
      <c r="I39" s="152">
        <f t="shared" si="14"/>
        <v>1571.3943158784</v>
      </c>
      <c r="J39" s="152">
        <f t="shared" si="14"/>
        <v>1613.8219624071166</v>
      </c>
      <c r="K39" s="152">
        <f t="shared" si="14"/>
        <v>1657.3951553921086</v>
      </c>
      <c r="L39" s="152">
        <f t="shared" si="14"/>
        <v>1700.4874294323033</v>
      </c>
      <c r="M39" s="152">
        <f t="shared" si="14"/>
        <v>1744.7001025975435</v>
      </c>
      <c r="N39" s="152">
        <f t="shared" si="14"/>
        <v>1790.0623052650797</v>
      </c>
      <c r="O39" s="152">
        <f t="shared" si="14"/>
        <v>1836.6039252019716</v>
      </c>
      <c r="P39" s="71"/>
      <c r="Q39" s="71"/>
      <c r="R39" s="71"/>
      <c r="S39" s="159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149"/>
    </row>
    <row r="40" spans="1:31" x14ac:dyDescent="0.25">
      <c r="A40" s="149"/>
      <c r="B40" s="178" t="s">
        <v>150</v>
      </c>
      <c r="C40" s="244" t="s">
        <v>19</v>
      </c>
      <c r="D40" s="248">
        <f>SUM(F40:O40)</f>
        <v>6493.0594029185359</v>
      </c>
      <c r="E40" s="71"/>
      <c r="F40" s="152">
        <f t="shared" ref="F40:O40" si="15">F18*F36</f>
        <v>218.88</v>
      </c>
      <c r="G40" s="152">
        <f t="shared" si="15"/>
        <v>224.13311999999999</v>
      </c>
      <c r="H40" s="152">
        <f t="shared" si="15"/>
        <v>688.53694464</v>
      </c>
      <c r="I40" s="152">
        <f t="shared" si="15"/>
        <v>707.12744214527993</v>
      </c>
      <c r="J40" s="152">
        <f t="shared" si="15"/>
        <v>726.21988308320249</v>
      </c>
      <c r="K40" s="152">
        <f t="shared" si="15"/>
        <v>745.82781992644891</v>
      </c>
      <c r="L40" s="152">
        <f t="shared" si="15"/>
        <v>765.21934324453662</v>
      </c>
      <c r="M40" s="152">
        <f t="shared" si="15"/>
        <v>785.11504616889465</v>
      </c>
      <c r="N40" s="152">
        <f t="shared" si="15"/>
        <v>805.52803736928581</v>
      </c>
      <c r="O40" s="152">
        <f t="shared" si="15"/>
        <v>826.47176634088714</v>
      </c>
      <c r="P40" s="71"/>
      <c r="Q40" s="71"/>
      <c r="R40" s="71"/>
      <c r="S40" s="159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149"/>
    </row>
    <row r="41" spans="1:31" x14ac:dyDescent="0.25">
      <c r="A41" s="149"/>
      <c r="B41" s="577"/>
      <c r="C41" s="244"/>
      <c r="D41" s="248"/>
      <c r="E41" s="71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71"/>
      <c r="Q41" s="149"/>
      <c r="R41" s="71"/>
      <c r="S41" s="159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149"/>
    </row>
    <row r="42" spans="1:31" x14ac:dyDescent="0.25">
      <c r="A42" s="149"/>
      <c r="B42" s="178" t="s">
        <v>310</v>
      </c>
      <c r="C42" s="244" t="s">
        <v>19</v>
      </c>
      <c r="D42" s="248">
        <f>SUM(F42:O42)</f>
        <v>59812.820094879178</v>
      </c>
      <c r="E42" s="71"/>
      <c r="F42" s="152">
        <f t="shared" ref="F42:O42" si="16">F25-F38</f>
        <v>656.64</v>
      </c>
      <c r="G42" s="152">
        <f t="shared" si="16"/>
        <v>672.39936</v>
      </c>
      <c r="H42" s="152">
        <f t="shared" si="16"/>
        <v>6655.8571315199997</v>
      </c>
      <c r="I42" s="152">
        <f t="shared" si="16"/>
        <v>6835.5652740710393</v>
      </c>
      <c r="J42" s="152">
        <f t="shared" si="16"/>
        <v>7020.1255364709577</v>
      </c>
      <c r="K42" s="152">
        <f t="shared" si="16"/>
        <v>7209.6689259556724</v>
      </c>
      <c r="L42" s="152">
        <f t="shared" si="16"/>
        <v>7397.1203180305201</v>
      </c>
      <c r="M42" s="152">
        <f t="shared" si="16"/>
        <v>7589.4454462993144</v>
      </c>
      <c r="N42" s="152">
        <f t="shared" si="16"/>
        <v>7786.7710279030971</v>
      </c>
      <c r="O42" s="152">
        <f t="shared" si="16"/>
        <v>7989.2270746285758</v>
      </c>
      <c r="P42" s="71"/>
      <c r="Q42" s="71"/>
      <c r="R42" s="71"/>
      <c r="S42" s="159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149"/>
    </row>
    <row r="43" spans="1:31" x14ac:dyDescent="0.25">
      <c r="A43" s="149"/>
      <c r="B43" s="178"/>
      <c r="C43" s="244"/>
      <c r="D43" s="248"/>
      <c r="E43" s="7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71"/>
      <c r="Q43" s="71"/>
      <c r="R43" s="71"/>
      <c r="S43" s="159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133"/>
    </row>
    <row r="44" spans="1:31" s="69" customFormat="1" ht="43.5" x14ac:dyDescent="0.25">
      <c r="A44" s="610"/>
      <c r="B44" s="612" t="s">
        <v>311</v>
      </c>
      <c r="C44" s="244" t="s">
        <v>19</v>
      </c>
      <c r="D44" s="616">
        <f>SUM(F44:O44)</f>
        <v>282274.53693899116</v>
      </c>
      <c r="E44" s="602"/>
      <c r="F44" s="228">
        <f>SUM(F45:F46)</f>
        <v>3098.88</v>
      </c>
      <c r="G44" s="228">
        <f t="shared" ref="G44:O44" si="17">SUM(G45:G46)</f>
        <v>3173.2531199999999</v>
      </c>
      <c r="H44" s="228">
        <f t="shared" si="17"/>
        <v>31410.974883840005</v>
      </c>
      <c r="I44" s="228">
        <f t="shared" si="17"/>
        <v>32259.07120570368</v>
      </c>
      <c r="J44" s="228">
        <f t="shared" si="17"/>
        <v>33130.066128257677</v>
      </c>
      <c r="K44" s="228">
        <f t="shared" si="17"/>
        <v>34024.577913720626</v>
      </c>
      <c r="L44" s="228">
        <f t="shared" si="17"/>
        <v>34909.216939477366</v>
      </c>
      <c r="M44" s="228">
        <f t="shared" si="17"/>
        <v>35816.856579903782</v>
      </c>
      <c r="N44" s="228">
        <f t="shared" si="17"/>
        <v>36748.094850981281</v>
      </c>
      <c r="O44" s="228">
        <f t="shared" si="17"/>
        <v>37703.545317106793</v>
      </c>
      <c r="P44" s="602"/>
      <c r="Q44" s="602"/>
      <c r="R44" s="602"/>
      <c r="S44" s="605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7"/>
    </row>
    <row r="45" spans="1:31" s="69" customFormat="1" ht="30" x14ac:dyDescent="0.25">
      <c r="A45" s="610"/>
      <c r="B45" s="181" t="s">
        <v>148</v>
      </c>
      <c r="C45" s="244" t="s">
        <v>19</v>
      </c>
      <c r="D45" s="616">
        <f>SUM(F45:O45)</f>
        <v>190346.48539240772</v>
      </c>
      <c r="E45" s="602"/>
      <c r="F45" s="603">
        <f t="shared" ref="F45:O45" si="18">F17+F39</f>
        <v>0</v>
      </c>
      <c r="G45" s="603">
        <f t="shared" si="18"/>
        <v>0</v>
      </c>
      <c r="H45" s="603">
        <f t="shared" si="18"/>
        <v>21662.741299200003</v>
      </c>
      <c r="I45" s="603">
        <f t="shared" si="18"/>
        <v>22247.635314278399</v>
      </c>
      <c r="J45" s="603">
        <f t="shared" si="18"/>
        <v>22848.321467763915</v>
      </c>
      <c r="K45" s="603">
        <f t="shared" si="18"/>
        <v>23465.226147393536</v>
      </c>
      <c r="L45" s="603">
        <f t="shared" si="18"/>
        <v>24075.322027225768</v>
      </c>
      <c r="M45" s="603">
        <f t="shared" si="18"/>
        <v>24701.280399933643</v>
      </c>
      <c r="N45" s="603">
        <f t="shared" si="18"/>
        <v>25343.513690331918</v>
      </c>
      <c r="O45" s="603">
        <f t="shared" si="18"/>
        <v>26002.445046280547</v>
      </c>
      <c r="P45" s="602"/>
      <c r="Q45" s="602"/>
      <c r="R45" s="602"/>
      <c r="S45" s="605"/>
      <c r="T45" s="602"/>
      <c r="U45" s="602"/>
      <c r="V45" s="602"/>
      <c r="W45" s="602"/>
      <c r="X45" s="602"/>
      <c r="Y45" s="602"/>
      <c r="Z45" s="602"/>
      <c r="AA45" s="602"/>
      <c r="AB45" s="602"/>
      <c r="AC45" s="602"/>
      <c r="AD45" s="602"/>
      <c r="AE45" s="607"/>
    </row>
    <row r="46" spans="1:31" s="69" customFormat="1" x14ac:dyDescent="0.25">
      <c r="A46" s="610"/>
      <c r="B46" s="181" t="s">
        <v>150</v>
      </c>
      <c r="C46" s="244" t="s">
        <v>19</v>
      </c>
      <c r="D46" s="616">
        <f>SUM(F46:O46)</f>
        <v>91928.051546583476</v>
      </c>
      <c r="E46" s="602"/>
      <c r="F46" s="603">
        <f t="shared" ref="F46:O46" si="19">F18+F40</f>
        <v>3098.88</v>
      </c>
      <c r="G46" s="603">
        <f t="shared" si="19"/>
        <v>3173.2531199999999</v>
      </c>
      <c r="H46" s="603">
        <f t="shared" si="19"/>
        <v>9748.2335846400001</v>
      </c>
      <c r="I46" s="603">
        <f t="shared" si="19"/>
        <v>10011.435891425279</v>
      </c>
      <c r="J46" s="603">
        <f t="shared" si="19"/>
        <v>10281.744660493761</v>
      </c>
      <c r="K46" s="603">
        <f t="shared" si="19"/>
        <v>10559.351766327094</v>
      </c>
      <c r="L46" s="603">
        <f t="shared" si="19"/>
        <v>10833.894912251597</v>
      </c>
      <c r="M46" s="603">
        <f t="shared" si="19"/>
        <v>11115.576179970139</v>
      </c>
      <c r="N46" s="603">
        <f t="shared" si="19"/>
        <v>11404.581160649363</v>
      </c>
      <c r="O46" s="603">
        <f t="shared" si="19"/>
        <v>11701.100270826244</v>
      </c>
      <c r="P46" s="602"/>
      <c r="Q46" s="602"/>
      <c r="R46" s="602"/>
      <c r="S46" s="605"/>
      <c r="T46" s="602"/>
      <c r="U46" s="602"/>
      <c r="V46" s="602"/>
      <c r="W46" s="602"/>
      <c r="X46" s="602"/>
      <c r="Y46" s="602"/>
      <c r="Z46" s="602"/>
      <c r="AA46" s="602"/>
      <c r="AB46" s="602"/>
      <c r="AC46" s="602"/>
      <c r="AD46" s="602"/>
      <c r="AE46" s="607"/>
    </row>
    <row r="47" spans="1:31" x14ac:dyDescent="0.25">
      <c r="A47" s="149"/>
      <c r="B47" s="178"/>
      <c r="C47" s="244"/>
      <c r="D47" s="248"/>
      <c r="E47" s="71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71"/>
      <c r="Q47" s="71"/>
      <c r="R47" s="71"/>
      <c r="S47" s="159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133"/>
    </row>
    <row r="48" spans="1:31" x14ac:dyDescent="0.25">
      <c r="A48" s="149"/>
      <c r="B48" s="178"/>
      <c r="C48" s="244"/>
      <c r="D48" s="248"/>
      <c r="E48" s="71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71"/>
      <c r="Q48" s="71"/>
      <c r="R48" s="71"/>
      <c r="S48" s="159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133"/>
    </row>
    <row r="49" spans="1:31" x14ac:dyDescent="0.25">
      <c r="A49" s="609" t="s">
        <v>792</v>
      </c>
      <c r="B49" s="611"/>
      <c r="C49" s="614"/>
      <c r="D49" s="614"/>
      <c r="E49" s="71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159"/>
      <c r="Q49" s="71"/>
      <c r="R49" s="71"/>
      <c r="S49" s="159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</row>
    <row r="50" spans="1:31" x14ac:dyDescent="0.25">
      <c r="A50" s="149"/>
      <c r="B50" s="178"/>
      <c r="C50" s="244"/>
      <c r="D50" s="248"/>
      <c r="E50" s="7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71"/>
      <c r="Q50" s="71"/>
      <c r="R50" s="71"/>
      <c r="S50" s="159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133"/>
    </row>
    <row r="51" spans="1:31" s="6" customFormat="1" ht="29.25" x14ac:dyDescent="0.25">
      <c r="A51" s="740">
        <f>ROUND(D51/1000,2)</f>
        <v>34.1</v>
      </c>
      <c r="B51" s="612" t="s">
        <v>156</v>
      </c>
      <c r="C51" s="739" t="s">
        <v>19</v>
      </c>
      <c r="D51" s="617">
        <f>SUM(F51:O51)</f>
        <v>34103.80093129076</v>
      </c>
      <c r="E51" s="124"/>
      <c r="F51" s="604">
        <f>SUM(F53:F54)</f>
        <v>374.40000000000003</v>
      </c>
      <c r="G51" s="604">
        <f t="shared" ref="G51:O51" si="20">SUM(G53:G54)</f>
        <v>383.38559999999995</v>
      </c>
      <c r="H51" s="604">
        <f t="shared" si="20"/>
        <v>3795.0062592000004</v>
      </c>
      <c r="I51" s="604">
        <f t="shared" si="20"/>
        <v>3897.4714281984002</v>
      </c>
      <c r="J51" s="604">
        <f t="shared" si="20"/>
        <v>4002.7031567597564</v>
      </c>
      <c r="K51" s="604">
        <f t="shared" si="20"/>
        <v>4110.776141992269</v>
      </c>
      <c r="L51" s="604">
        <f t="shared" si="20"/>
        <v>4217.6563216840677</v>
      </c>
      <c r="M51" s="604">
        <f t="shared" si="20"/>
        <v>4327.3153860478551</v>
      </c>
      <c r="N51" s="604">
        <f t="shared" si="20"/>
        <v>4439.8255860850986</v>
      </c>
      <c r="O51" s="604">
        <f t="shared" si="20"/>
        <v>4555.2610513233112</v>
      </c>
      <c r="P51" s="124"/>
      <c r="Q51" s="124"/>
      <c r="R51" s="124"/>
      <c r="S51" s="606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608"/>
    </row>
    <row r="52" spans="1:31" x14ac:dyDescent="0.25">
      <c r="A52" s="741"/>
      <c r="B52" s="178" t="s">
        <v>615</v>
      </c>
      <c r="C52" s="244"/>
      <c r="D52" s="617"/>
      <c r="E52" s="71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71"/>
      <c r="Q52" s="71"/>
      <c r="R52" s="71"/>
      <c r="S52" s="159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133"/>
    </row>
    <row r="53" spans="1:31" x14ac:dyDescent="0.25">
      <c r="A53" s="740">
        <f>ROUND(D53/1000,2)</f>
        <v>28.86</v>
      </c>
      <c r="B53" s="178" t="s">
        <v>784</v>
      </c>
      <c r="C53" s="244" t="s">
        <v>19</v>
      </c>
      <c r="D53" s="617">
        <f>SUM(F53:O53)</f>
        <v>28857.062326476796</v>
      </c>
      <c r="E53" s="71"/>
      <c r="F53" s="152">
        <f>F16*Макро!F65</f>
        <v>316.8</v>
      </c>
      <c r="G53" s="152">
        <f>G16*Макро!G65</f>
        <v>324.40319999999997</v>
      </c>
      <c r="H53" s="152">
        <f>H16*Макро!H65</f>
        <v>3211.1591424000003</v>
      </c>
      <c r="I53" s="152">
        <f>I16*Макро!I65</f>
        <v>3297.8604392448001</v>
      </c>
      <c r="J53" s="152">
        <f>J16*Макро!J65</f>
        <v>3386.9026711044094</v>
      </c>
      <c r="K53" s="152">
        <f>K16*Макро!K65</f>
        <v>3478.3490432242279</v>
      </c>
      <c r="L53" s="152">
        <f>L16*Макро!L65</f>
        <v>3568.7861183480577</v>
      </c>
      <c r="M53" s="152">
        <f>M16*Макро!M65</f>
        <v>3661.5745574251082</v>
      </c>
      <c r="N53" s="152">
        <f>N16*Макро!N65</f>
        <v>3756.7754959181607</v>
      </c>
      <c r="O53" s="152">
        <f>O16*Макро!O65</f>
        <v>3854.4516588120323</v>
      </c>
      <c r="P53" s="71"/>
      <c r="Q53" s="71"/>
      <c r="R53" s="71"/>
      <c r="S53" s="159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133"/>
    </row>
    <row r="54" spans="1:31" x14ac:dyDescent="0.25">
      <c r="A54" s="740">
        <f>ROUND(D54/1000,2)</f>
        <v>5.25</v>
      </c>
      <c r="B54" s="178" t="s">
        <v>621</v>
      </c>
      <c r="C54" s="244" t="s">
        <v>19</v>
      </c>
      <c r="D54" s="617">
        <f>SUM(F54:O54)</f>
        <v>5246.7386048139633</v>
      </c>
      <c r="E54" s="71"/>
      <c r="F54" s="152">
        <f>F16*Макро!F66</f>
        <v>57.6</v>
      </c>
      <c r="G54" s="152">
        <f>G16*Макро!G66</f>
        <v>58.982399999999998</v>
      </c>
      <c r="H54" s="152">
        <f>H16*Макро!H66</f>
        <v>583.84711680000009</v>
      </c>
      <c r="I54" s="152">
        <f>I16*Макро!I66</f>
        <v>599.61098895359999</v>
      </c>
      <c r="J54" s="152">
        <f>J16*Макро!J66</f>
        <v>615.80048565534719</v>
      </c>
      <c r="K54" s="152">
        <f>K16*Макро!K66</f>
        <v>632.42709876804145</v>
      </c>
      <c r="L54" s="152">
        <f>L16*Макро!L66</f>
        <v>648.87020333601049</v>
      </c>
      <c r="M54" s="152">
        <f>M16*Макро!M66</f>
        <v>665.7408286227469</v>
      </c>
      <c r="N54" s="152">
        <f>N16*Макро!N66</f>
        <v>683.05009016693828</v>
      </c>
      <c r="O54" s="152">
        <f>O16*Макро!O66</f>
        <v>700.80939251127859</v>
      </c>
      <c r="P54" s="71"/>
      <c r="Q54" s="71"/>
      <c r="R54" s="71"/>
      <c r="S54" s="159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133"/>
    </row>
    <row r="55" spans="1:31" x14ac:dyDescent="0.25">
      <c r="A55" s="149"/>
      <c r="B55" s="178"/>
      <c r="C55" s="244"/>
      <c r="D55" s="617"/>
      <c r="E55" s="71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71"/>
      <c r="Q55" s="71"/>
      <c r="R55" s="71"/>
      <c r="S55" s="159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133"/>
    </row>
    <row r="56" spans="1:31" x14ac:dyDescent="0.25">
      <c r="A56" s="149"/>
      <c r="B56" s="178" t="s">
        <v>158</v>
      </c>
      <c r="C56" s="244" t="s">
        <v>19</v>
      </c>
      <c r="D56" s="617">
        <f>SUM(F56:O56)</f>
        <v>228233.12930940738</v>
      </c>
      <c r="E56" s="71"/>
      <c r="F56" s="152">
        <f t="shared" ref="F56:O56" si="21">F16-F51</f>
        <v>2505.6</v>
      </c>
      <c r="G56" s="152">
        <f t="shared" si="21"/>
        <v>2565.7343999999998</v>
      </c>
      <c r="H56" s="152">
        <f t="shared" si="21"/>
        <v>25397.349580800004</v>
      </c>
      <c r="I56" s="152">
        <f t="shared" si="21"/>
        <v>26083.0780194816</v>
      </c>
      <c r="J56" s="152">
        <f t="shared" si="21"/>
        <v>26787.321126007602</v>
      </c>
      <c r="K56" s="152">
        <f t="shared" si="21"/>
        <v>27510.578796409805</v>
      </c>
      <c r="L56" s="152">
        <f t="shared" si="21"/>
        <v>28225.853845116457</v>
      </c>
      <c r="M56" s="152">
        <f t="shared" si="21"/>
        <v>28959.72604508949</v>
      </c>
      <c r="N56" s="152">
        <f t="shared" si="21"/>
        <v>29712.678922261817</v>
      </c>
      <c r="O56" s="152">
        <f t="shared" si="21"/>
        <v>30485.208574240616</v>
      </c>
      <c r="P56" s="71"/>
      <c r="Q56" s="71"/>
      <c r="R56" s="71"/>
      <c r="S56" s="159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33"/>
    </row>
    <row r="57" spans="1:31" x14ac:dyDescent="0.25">
      <c r="A57" s="149"/>
      <c r="B57" s="178"/>
      <c r="C57" s="244"/>
      <c r="D57" s="248"/>
      <c r="E57" s="71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71"/>
      <c r="Q57" s="71"/>
      <c r="R57" s="71"/>
      <c r="S57" s="159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133"/>
    </row>
    <row r="58" spans="1:31" ht="15.75" thickBot="1" x14ac:dyDescent="0.3">
      <c r="A58" s="132"/>
      <c r="B58" s="192"/>
      <c r="C58" s="192"/>
      <c r="D58" s="132"/>
      <c r="E58" s="71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71"/>
      <c r="Q58" s="132"/>
      <c r="R58" s="71"/>
      <c r="S58" s="159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132"/>
    </row>
    <row r="60" spans="1:31" x14ac:dyDescent="0.25">
      <c r="A60" s="71"/>
      <c r="B60" s="613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</row>
    <row r="63" spans="1:31" x14ac:dyDescent="0.25">
      <c r="A63" s="71"/>
      <c r="B63" s="174" t="str" cm="1">
        <f t="array" aca="1" ref="B63" ca="1">HYPERLINK(CELL("адрес",БДР!$A$1),"Перейти на лист БДР")</f>
        <v>Перейти на лист БДР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</row>
    <row r="64" spans="1:31" x14ac:dyDescent="0.25">
      <c r="A64" s="71"/>
      <c r="B64" s="174" t="str" cm="1">
        <f t="array" aca="1" ref="B64" ca="1">HYPERLINK(CELL("адрес",БДДС!$A$1),"Перейти на лист БДДС")</f>
        <v>Перейти на лист БДДС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</row>
    <row r="65" spans="2:2" x14ac:dyDescent="0.25">
      <c r="B65" s="174" t="str" cm="1">
        <f t="array" aca="1" ref="B65" ca="1">HYPERLINK(CELL("адрес",Баланс!$A$1),"Перейти на лист Баланс")</f>
        <v>Перейти на лист Баланс</v>
      </c>
    </row>
    <row r="66" spans="2:2" x14ac:dyDescent="0.25">
      <c r="B66" s="174" t="str" cm="1">
        <f t="array" aca="1" ref="B66" ca="1">HYPERLINK(CELL("адрес",Дашборд_ИтогТабл!$A$1),"Перейти на лист Дашборд_1")</f>
        <v>Перейти на лист Дашборд_1</v>
      </c>
    </row>
    <row r="67" spans="2:2" ht="30" x14ac:dyDescent="0.25">
      <c r="B67" s="174" t="str" cm="1">
        <f t="array" aca="1" ref="B67" ca="1">HYPERLINK(CELL("адрес",Дашборд_Основной!$A$1),"Перейти на лист Дашборд_Общий")</f>
        <v>Перейти на лист Дашборд_Общий</v>
      </c>
    </row>
    <row r="68" spans="2:2" ht="30" x14ac:dyDescent="0.25">
      <c r="B68" s="174" t="str" cm="1">
        <f t="array" aca="1" ref="B68" ca="1">HYPERLINK(CELL("адрес",Дашборд_налоги!$A$1),"Перейти на лист Дашборд_Налоги")</f>
        <v>Перейти на лист Дашборд_Налоги</v>
      </c>
    </row>
  </sheetData>
  <mergeCells count="1">
    <mergeCell ref="A5:D5"/>
  </mergeCells>
  <hyperlinks>
    <hyperlink ref="I1" location="Контроль!A1" display="Контроль!A1" xr:uid="{5885E737-F31E-4754-B7FA-112F6842AE3E}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31928D51-43D7-4A57-BFBA-C5A620E839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Персонал!F7:O7</xm:f>
              <xm:sqref>Q7</xm:sqref>
            </x14:sparkline>
          </x14:sparklines>
        </x14:sparklineGroup>
        <x14:sparklineGroup manualMax="0" manualMin="0" displayEmptyCellsAs="gap" xr2:uid="{14D669D5-544E-41D5-9739-996F0A6E4D6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Персонал!F29:O29</xm:f>
              <xm:sqref>Q29</xm:sqref>
            </x14:sparkline>
          </x14:sparklines>
        </x14:sparklineGroup>
        <x14:sparklineGroup manualMax="0" manualMin="0" displayEmptyCellsAs="gap" xr2:uid="{643ED312-B8D7-4189-8F95-3D2D4EF861C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Персонал!F25:O25</xm:f>
              <xm:sqref>Q25</xm:sqref>
            </x14:sparkline>
          </x14:sparklines>
        </x14:sparklineGroup>
        <x14:sparklineGroup manualMax="0" manualMin="0" displayEmptyCellsAs="gap" xr2:uid="{EE098337-8903-4099-A911-AC442C0FE6F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Персонал!F16:O16</xm:f>
              <xm:sqref>Q16</xm:sqref>
            </x14:sparkline>
          </x14:sparklines>
        </x14:sparklineGroup>
        <x14:sparklineGroup manualMax="0" manualMin="0" displayEmptyCellsAs="gap" xr2:uid="{DF3B73A9-5828-4F7A-92AB-20AE56B5B5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Макро!F80:P80</xm:f>
              <xm:sqref>Q12</xm:sqref>
            </x14:sparkline>
          </x14:sparklines>
        </x14:sparklineGroup>
        <x14:sparklineGroup manualMax="0" manualMin="0" displayEmptyCellsAs="gap" xr2:uid="{36E9460F-4412-4607-8BF4-55D32DBDF19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Макро!F81:P81</xm:f>
              <xm:sqref>Q13</xm:sqref>
            </x14:sparkline>
            <x14:sparkline>
              <xm:sqref>Q14</xm:sqref>
            </x14:sparkline>
          </x14:sparklines>
        </x14:sparklineGroup>
      </x14:sparklineGroup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B9B5-CDEC-462D-8456-85C9F73DCD9E}">
  <sheetPr codeName="Лист18">
    <tabColor theme="9" tint="0.59999389629810485"/>
    <outlinePr summaryBelow="0" summaryRight="0"/>
    <pageSetUpPr fitToPage="1"/>
  </sheetPr>
  <dimension ref="A1:CA73"/>
  <sheetViews>
    <sheetView zoomScaleNormal="100" workbookViewId="0">
      <pane xSplit="4" ySplit="3" topLeftCell="E4" activePane="bottomRight" state="frozen"/>
      <selection pane="topRight"/>
      <selection pane="bottomLeft"/>
      <selection pane="bottomRight"/>
    </sheetView>
  </sheetViews>
  <sheetFormatPr defaultColWidth="0" defaultRowHeight="15" outlineLevelCol="1" x14ac:dyDescent="0.25"/>
  <cols>
    <col min="1" max="1" width="9.85546875" customWidth="1"/>
    <col min="2" max="2" width="30.28515625" style="2" customWidth="1"/>
    <col min="3" max="3" width="11" customWidth="1"/>
    <col min="4" max="4" width="10.140625" customWidth="1"/>
    <col min="5" max="5" width="2.28515625" customWidth="1"/>
    <col min="6" max="15" width="8.85546875" customWidth="1"/>
    <col min="16" max="16" width="1.140625" customWidth="1"/>
    <col min="17" max="17" width="13.42578125" customWidth="1"/>
    <col min="18" max="18" width="1.7109375" customWidth="1"/>
    <col min="19" max="19" width="2.85546875" customWidth="1" collapsed="1"/>
    <col min="20" max="30" width="8.85546875" hidden="1" customWidth="1" outlineLevel="1"/>
    <col min="31" max="31" width="1.5703125" customWidth="1"/>
    <col min="32" max="32" width="35" customWidth="1"/>
    <col min="33" max="35" width="8.85546875" customWidth="1"/>
    <col min="36" max="79" width="0" hidden="1" customWidth="1"/>
    <col min="80" max="16384" width="8.85546875" hidden="1"/>
  </cols>
  <sheetData>
    <row r="1" spans="1:32" ht="25.5" x14ac:dyDescent="0.25">
      <c r="A1" s="690" t="s">
        <v>267</v>
      </c>
      <c r="B1" s="167"/>
      <c r="C1" s="71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71"/>
      <c r="R1" s="71"/>
      <c r="S1" s="158" t="s">
        <v>181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 spans="1:32" x14ac:dyDescent="0.25">
      <c r="A2" s="71" t="str">
        <f>Паспорт_ФМ_резидент!B7</f>
        <v>Название инвест. проект 01</v>
      </c>
      <c r="B2" s="167"/>
      <c r="C2" s="71"/>
      <c r="D2" s="126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71"/>
      <c r="S2" s="159"/>
      <c r="T2" s="162">
        <v>11</v>
      </c>
      <c r="U2" s="162">
        <f t="shared" ref="U2:W3" si="0">T2+1</f>
        <v>12</v>
      </c>
      <c r="V2" s="162">
        <f t="shared" si="0"/>
        <v>13</v>
      </c>
      <c r="W2" s="126">
        <f t="shared" si="0"/>
        <v>14</v>
      </c>
      <c r="X2" s="126">
        <f t="shared" ref="X2:AD3" si="1">W2+1</f>
        <v>15</v>
      </c>
      <c r="Y2" s="126">
        <f t="shared" si="1"/>
        <v>16</v>
      </c>
      <c r="Z2" s="126">
        <f t="shared" si="1"/>
        <v>17</v>
      </c>
      <c r="AA2" s="126">
        <f t="shared" si="1"/>
        <v>18</v>
      </c>
      <c r="AB2" s="126">
        <f t="shared" si="1"/>
        <v>19</v>
      </c>
      <c r="AC2" s="126">
        <f t="shared" si="1"/>
        <v>20</v>
      </c>
      <c r="AD2" s="126">
        <f t="shared" si="1"/>
        <v>21</v>
      </c>
      <c r="AE2" s="71"/>
      <c r="AF2" s="71"/>
    </row>
    <row r="3" spans="1:32" s="18" customFormat="1" ht="42.75" x14ac:dyDescent="0.25">
      <c r="A3" s="127" t="s">
        <v>2</v>
      </c>
      <c r="B3" s="236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 t="shared" ref="G3:O3" si="2">F3+1</f>
        <v>2026</v>
      </c>
      <c r="H3" s="127">
        <f t="shared" si="2"/>
        <v>2027</v>
      </c>
      <c r="I3" s="127">
        <f t="shared" si="2"/>
        <v>2028</v>
      </c>
      <c r="J3" s="127">
        <f t="shared" si="2"/>
        <v>2029</v>
      </c>
      <c r="K3" s="127">
        <f t="shared" si="2"/>
        <v>2030</v>
      </c>
      <c r="L3" s="127">
        <f t="shared" si="2"/>
        <v>2031</v>
      </c>
      <c r="M3" s="127">
        <f t="shared" si="2"/>
        <v>2032</v>
      </c>
      <c r="N3" s="127">
        <f t="shared" si="2"/>
        <v>2033</v>
      </c>
      <c r="O3" s="127">
        <f t="shared" si="2"/>
        <v>2034</v>
      </c>
      <c r="P3" s="155"/>
      <c r="Q3" s="127" t="s">
        <v>106</v>
      </c>
      <c r="R3" s="155"/>
      <c r="S3" s="160"/>
      <c r="T3" s="163">
        <v>2034</v>
      </c>
      <c r="U3" s="163">
        <f t="shared" si="0"/>
        <v>2035</v>
      </c>
      <c r="V3" s="163">
        <f t="shared" si="0"/>
        <v>2036</v>
      </c>
      <c r="W3" s="163">
        <f t="shared" si="0"/>
        <v>2037</v>
      </c>
      <c r="X3" s="163">
        <f t="shared" si="1"/>
        <v>2038</v>
      </c>
      <c r="Y3" s="163">
        <f t="shared" si="1"/>
        <v>2039</v>
      </c>
      <c r="Z3" s="163">
        <f t="shared" si="1"/>
        <v>2040</v>
      </c>
      <c r="AA3" s="163">
        <f t="shared" si="1"/>
        <v>2041</v>
      </c>
      <c r="AB3" s="163">
        <f t="shared" si="1"/>
        <v>2042</v>
      </c>
      <c r="AC3" s="163">
        <f t="shared" si="1"/>
        <v>2043</v>
      </c>
      <c r="AD3" s="163">
        <f t="shared" si="1"/>
        <v>2044</v>
      </c>
      <c r="AE3" s="155"/>
      <c r="AF3" s="236" t="s">
        <v>202</v>
      </c>
    </row>
    <row r="4" spans="1:32" ht="7.15" customHeight="1" x14ac:dyDescent="0.25">
      <c r="A4" s="149"/>
      <c r="B4" s="178"/>
      <c r="C4" s="149"/>
      <c r="D4" s="149"/>
      <c r="E4" s="7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71"/>
      <c r="Q4" s="149"/>
      <c r="R4" s="71"/>
      <c r="S4" s="159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149"/>
    </row>
    <row r="5" spans="1:32" ht="29.25" x14ac:dyDescent="0.25">
      <c r="A5" s="242"/>
      <c r="B5" s="736" t="s">
        <v>268</v>
      </c>
      <c r="C5" s="244" t="s">
        <v>19</v>
      </c>
      <c r="D5" s="248">
        <f>SUM(F5:O5)</f>
        <v>127739.5685858925</v>
      </c>
      <c r="E5" s="71"/>
      <c r="F5" s="228">
        <f t="shared" ref="F5:O5" si="3">SUM(F11,F15,F19,F23,F27,F31,F35,F39,F44)</f>
        <v>4685</v>
      </c>
      <c r="G5" s="228">
        <f t="shared" si="3"/>
        <v>4881.8</v>
      </c>
      <c r="H5" s="228">
        <f t="shared" si="3"/>
        <v>9457.026249999999</v>
      </c>
      <c r="I5" s="228">
        <f t="shared" si="3"/>
        <v>14158.022887499999</v>
      </c>
      <c r="J5" s="228">
        <f t="shared" si="3"/>
        <v>14623.022683687499</v>
      </c>
      <c r="K5" s="228">
        <f t="shared" si="3"/>
        <v>15104.089443739686</v>
      </c>
      <c r="L5" s="228">
        <f t="shared" si="3"/>
        <v>15530.835519859778</v>
      </c>
      <c r="M5" s="228">
        <f t="shared" si="3"/>
        <v>15971.99017650024</v>
      </c>
      <c r="N5" s="228">
        <f t="shared" si="3"/>
        <v>16428.089837944004</v>
      </c>
      <c r="O5" s="228">
        <f t="shared" si="3"/>
        <v>16899.691786661278</v>
      </c>
      <c r="P5" s="71"/>
      <c r="Q5" s="133"/>
      <c r="R5" s="71"/>
      <c r="S5" s="159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133"/>
    </row>
    <row r="6" spans="1:32" x14ac:dyDescent="0.25">
      <c r="A6" s="393" t="str" cm="1">
        <f t="array" aca="1" ref="A6" ca="1">HYPERLINK(CELL("адрес",Макро!$B$31),"источник")</f>
        <v>источник</v>
      </c>
      <c r="B6" s="599" t="s">
        <v>252</v>
      </c>
      <c r="C6" s="244" t="s">
        <v>19</v>
      </c>
      <c r="D6" s="248">
        <f>SUM(F6:O6)</f>
        <v>25547.913717178497</v>
      </c>
      <c r="E6" s="71"/>
      <c r="F6" s="228">
        <f>F5*Макро!F31</f>
        <v>937</v>
      </c>
      <c r="G6" s="228">
        <f>G5*Макро!G31</f>
        <v>976.36000000000013</v>
      </c>
      <c r="H6" s="228">
        <f>H5*Макро!H31</f>
        <v>1891.4052499999998</v>
      </c>
      <c r="I6" s="228">
        <f>I5*Макро!I31</f>
        <v>2831.6045775000002</v>
      </c>
      <c r="J6" s="228">
        <f>J5*Макро!J31</f>
        <v>2924.6045367375</v>
      </c>
      <c r="K6" s="228">
        <f>K5*Макро!K31</f>
        <v>3020.8178887479371</v>
      </c>
      <c r="L6" s="228">
        <f>L5*Макро!L31</f>
        <v>3106.1671039719558</v>
      </c>
      <c r="M6" s="228">
        <f>M5*Макро!M31</f>
        <v>3194.3980353000479</v>
      </c>
      <c r="N6" s="228">
        <f>N5*Макро!N31</f>
        <v>3285.6179675888011</v>
      </c>
      <c r="O6" s="228">
        <f>O5*Макро!O31</f>
        <v>3379.9383573322557</v>
      </c>
      <c r="P6" s="71"/>
      <c r="Q6" s="133"/>
      <c r="R6" s="71"/>
      <c r="S6" s="159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133"/>
    </row>
    <row r="7" spans="1:32" x14ac:dyDescent="0.25">
      <c r="A7" s="242"/>
      <c r="B7" s="599" t="s">
        <v>263</v>
      </c>
      <c r="C7" s="244" t="s">
        <v>19</v>
      </c>
      <c r="D7" s="248">
        <f>SUM(F7:O7)</f>
        <v>153287.48230307098</v>
      </c>
      <c r="E7" s="71"/>
      <c r="F7" s="228">
        <f>SUM(F5:F6)</f>
        <v>5622</v>
      </c>
      <c r="G7" s="228">
        <f t="shared" ref="G7:O7" si="4">SUM(G5:G6)</f>
        <v>5858.16</v>
      </c>
      <c r="H7" s="228">
        <f t="shared" si="4"/>
        <v>11348.431499999999</v>
      </c>
      <c r="I7" s="228">
        <f t="shared" si="4"/>
        <v>16989.627464999998</v>
      </c>
      <c r="J7" s="228">
        <f t="shared" si="4"/>
        <v>17547.627220424998</v>
      </c>
      <c r="K7" s="228">
        <f t="shared" si="4"/>
        <v>18124.907332487623</v>
      </c>
      <c r="L7" s="228">
        <f t="shared" si="4"/>
        <v>18637.002623831733</v>
      </c>
      <c r="M7" s="228">
        <f t="shared" si="4"/>
        <v>19166.388211800288</v>
      </c>
      <c r="N7" s="228">
        <f t="shared" si="4"/>
        <v>19713.707805532806</v>
      </c>
      <c r="O7" s="228">
        <f t="shared" si="4"/>
        <v>20279.630143993534</v>
      </c>
      <c r="P7" s="71"/>
      <c r="Q7" s="133"/>
      <c r="R7" s="71"/>
      <c r="S7" s="159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133"/>
    </row>
    <row r="8" spans="1:32" x14ac:dyDescent="0.25">
      <c r="A8" s="242"/>
      <c r="B8" s="178"/>
      <c r="C8" s="149"/>
      <c r="D8" s="149"/>
      <c r="E8" s="7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71"/>
      <c r="Q8" s="133"/>
      <c r="R8" s="71"/>
      <c r="S8" s="159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133"/>
    </row>
    <row r="9" spans="1:32" ht="15.75" x14ac:dyDescent="0.25">
      <c r="A9" s="242"/>
      <c r="B9" s="737" t="s">
        <v>769</v>
      </c>
      <c r="C9" s="149"/>
      <c r="D9" s="149"/>
      <c r="E9" s="71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71"/>
      <c r="Q9" s="133"/>
      <c r="R9" s="71"/>
      <c r="S9" s="15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133"/>
    </row>
    <row r="10" spans="1:32" ht="15.75" x14ac:dyDescent="0.25">
      <c r="A10" s="242"/>
      <c r="B10" s="737"/>
      <c r="C10" s="149"/>
      <c r="D10" s="149"/>
      <c r="E10" s="71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71"/>
      <c r="Q10" s="71"/>
      <c r="R10" s="71"/>
      <c r="S10" s="159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</row>
    <row r="11" spans="1:32" ht="29.25" x14ac:dyDescent="0.25">
      <c r="A11" s="242"/>
      <c r="B11" s="577" t="s">
        <v>457</v>
      </c>
      <c r="C11" s="244" t="s">
        <v>19</v>
      </c>
      <c r="D11" s="248">
        <f>SUM(F11:O11)</f>
        <v>11916.259607650267</v>
      </c>
      <c r="E11" s="71"/>
      <c r="F11" s="389">
        <f t="shared" ref="F11:O11" si="5">F12*F13</f>
        <v>935</v>
      </c>
      <c r="G11" s="389">
        <f t="shared" si="5"/>
        <v>963.05</v>
      </c>
      <c r="H11" s="389">
        <f t="shared" si="5"/>
        <v>987.1262499999998</v>
      </c>
      <c r="I11" s="389">
        <f t="shared" si="5"/>
        <v>1214.1652874999997</v>
      </c>
      <c r="J11" s="389">
        <f t="shared" si="5"/>
        <v>1244.5194196874995</v>
      </c>
      <c r="K11" s="389">
        <f t="shared" si="5"/>
        <v>1275.6324051796869</v>
      </c>
      <c r="L11" s="389">
        <f t="shared" si="5"/>
        <v>1294.766891257382</v>
      </c>
      <c r="M11" s="389">
        <f t="shared" si="5"/>
        <v>1314.1883946262424</v>
      </c>
      <c r="N11" s="389">
        <f t="shared" si="5"/>
        <v>1333.9012205456359</v>
      </c>
      <c r="O11" s="389">
        <f t="shared" si="5"/>
        <v>1353.9097388538203</v>
      </c>
      <c r="P11" s="71"/>
      <c r="Q11" s="133"/>
      <c r="R11" s="71"/>
      <c r="S11" s="159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133"/>
    </row>
    <row r="12" spans="1:32" x14ac:dyDescent="0.25">
      <c r="A12" s="226" t="str" cm="1">
        <f t="array" aca="1" ref="A12" ca="1">HYPERLINK(CELL("адрес",Исходные!A39),"источник")</f>
        <v>источник</v>
      </c>
      <c r="B12" s="178" t="s">
        <v>457</v>
      </c>
      <c r="C12" s="191" t="s">
        <v>881</v>
      </c>
      <c r="D12" s="248">
        <f>SUM(F12:O12)</f>
        <v>1140</v>
      </c>
      <c r="E12" s="71"/>
      <c r="F12" s="389">
        <f>Исходные!F39</f>
        <v>100</v>
      </c>
      <c r="G12" s="389">
        <f>Исходные!G39</f>
        <v>100</v>
      </c>
      <c r="H12" s="389">
        <f>Исходные!H39</f>
        <v>100</v>
      </c>
      <c r="I12" s="389">
        <f>Исходные!I39</f>
        <v>120</v>
      </c>
      <c r="J12" s="389">
        <f>Исходные!J39</f>
        <v>120</v>
      </c>
      <c r="K12" s="389">
        <f>Исходные!K39</f>
        <v>120</v>
      </c>
      <c r="L12" s="389">
        <f>Исходные!L39</f>
        <v>120</v>
      </c>
      <c r="M12" s="389">
        <f>Исходные!M39</f>
        <v>120</v>
      </c>
      <c r="N12" s="389">
        <f>Исходные!N39</f>
        <v>120</v>
      </c>
      <c r="O12" s="389">
        <f>Исходные!O39</f>
        <v>120</v>
      </c>
      <c r="P12" s="71"/>
      <c r="Q12" s="133"/>
      <c r="R12" s="71"/>
      <c r="S12" s="159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133"/>
    </row>
    <row r="13" spans="1:32" x14ac:dyDescent="0.25">
      <c r="A13" s="226" t="str" cm="1">
        <f t="array" aca="1" ref="A13" ca="1">HYPERLINK(CELL("адрес",Макро!A88),"источник")</f>
        <v>источник</v>
      </c>
      <c r="B13" s="178" t="s">
        <v>265</v>
      </c>
      <c r="C13" s="191" t="s">
        <v>880</v>
      </c>
      <c r="D13" s="738" t="s">
        <v>134</v>
      </c>
      <c r="E13" s="71"/>
      <c r="F13" s="136">
        <f>Макро!F88</f>
        <v>9.35</v>
      </c>
      <c r="G13" s="136">
        <f>Макро!G88</f>
        <v>9.6304999999999996</v>
      </c>
      <c r="H13" s="136">
        <f>Макро!H88</f>
        <v>9.8712624999999985</v>
      </c>
      <c r="I13" s="136">
        <f>Макро!I88</f>
        <v>10.118044062499997</v>
      </c>
      <c r="J13" s="136">
        <f>Макро!J88</f>
        <v>10.370995164062496</v>
      </c>
      <c r="K13" s="136">
        <f>Макро!K88</f>
        <v>10.630270043164057</v>
      </c>
      <c r="L13" s="136">
        <f>Макро!L88</f>
        <v>10.789724093811516</v>
      </c>
      <c r="M13" s="136">
        <f>Макро!M88</f>
        <v>10.951569955218687</v>
      </c>
      <c r="N13" s="136">
        <f>Макро!N88</f>
        <v>11.115843504546966</v>
      </c>
      <c r="O13" s="136">
        <f>Макро!O88</f>
        <v>11.282581157115169</v>
      </c>
      <c r="P13" s="71"/>
      <c r="Q13" s="133"/>
      <c r="R13" s="71"/>
      <c r="S13" s="159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133"/>
    </row>
    <row r="14" spans="1:32" x14ac:dyDescent="0.25">
      <c r="A14" s="149"/>
      <c r="B14" s="178"/>
      <c r="C14" s="149"/>
      <c r="D14" s="149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159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</row>
    <row r="15" spans="1:32" x14ac:dyDescent="0.25">
      <c r="A15" s="242"/>
      <c r="B15" s="577" t="s">
        <v>456</v>
      </c>
      <c r="C15" s="244" t="s">
        <v>19</v>
      </c>
      <c r="D15" s="248">
        <f>SUM(F15:O15)</f>
        <v>0</v>
      </c>
      <c r="E15" s="71"/>
      <c r="F15" s="389">
        <f t="shared" ref="F15:O15" si="6">F16*F17</f>
        <v>0</v>
      </c>
      <c r="G15" s="389">
        <f t="shared" si="6"/>
        <v>0</v>
      </c>
      <c r="H15" s="389">
        <f t="shared" si="6"/>
        <v>0</v>
      </c>
      <c r="I15" s="389">
        <f t="shared" si="6"/>
        <v>0</v>
      </c>
      <c r="J15" s="389">
        <f t="shared" si="6"/>
        <v>0</v>
      </c>
      <c r="K15" s="389">
        <f t="shared" si="6"/>
        <v>0</v>
      </c>
      <c r="L15" s="389">
        <f t="shared" si="6"/>
        <v>0</v>
      </c>
      <c r="M15" s="389">
        <f t="shared" si="6"/>
        <v>0</v>
      </c>
      <c r="N15" s="389">
        <f t="shared" si="6"/>
        <v>0</v>
      </c>
      <c r="O15" s="389">
        <f t="shared" si="6"/>
        <v>0</v>
      </c>
      <c r="P15" s="71"/>
      <c r="Q15" s="133"/>
      <c r="R15" s="71"/>
      <c r="S15" s="159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133"/>
    </row>
    <row r="16" spans="1:32" x14ac:dyDescent="0.25">
      <c r="A16" s="226" t="str" cm="1">
        <f t="array" aca="1" ref="A16" ca="1">HYPERLINK(CELL("адрес",Исходные!A42),"источник")</f>
        <v>источник</v>
      </c>
      <c r="B16" s="178" t="s">
        <v>456</v>
      </c>
      <c r="C16" s="191" t="s">
        <v>895</v>
      </c>
      <c r="D16" s="248">
        <f>SUM(F16:O16)</f>
        <v>0</v>
      </c>
      <c r="E16" s="71"/>
      <c r="F16" s="389">
        <f>Исходные!F42</f>
        <v>0</v>
      </c>
      <c r="G16" s="389">
        <f>Исходные!G42</f>
        <v>0</v>
      </c>
      <c r="H16" s="389">
        <f>Исходные!H42</f>
        <v>0</v>
      </c>
      <c r="I16" s="389">
        <f>Исходные!I42</f>
        <v>0</v>
      </c>
      <c r="J16" s="389">
        <f>Исходные!J42</f>
        <v>0</v>
      </c>
      <c r="K16" s="389">
        <f>Исходные!K42</f>
        <v>0</v>
      </c>
      <c r="L16" s="389">
        <f>Исходные!L42</f>
        <v>0</v>
      </c>
      <c r="M16" s="389">
        <f>Исходные!M42</f>
        <v>0</v>
      </c>
      <c r="N16" s="389">
        <f>Исходные!N42</f>
        <v>0</v>
      </c>
      <c r="O16" s="389">
        <f>Исходные!O42</f>
        <v>0</v>
      </c>
      <c r="P16" s="71"/>
      <c r="Q16" s="133"/>
      <c r="R16" s="71"/>
      <c r="S16" s="159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133"/>
    </row>
    <row r="17" spans="1:32" x14ac:dyDescent="0.25">
      <c r="A17" s="226" t="str" cm="1">
        <f t="array" aca="1" ref="A17" ca="1">HYPERLINK(CELL("адрес",Макро!A89),"источник")</f>
        <v>источник</v>
      </c>
      <c r="B17" s="178" t="s">
        <v>265</v>
      </c>
      <c r="C17" s="191" t="s">
        <v>896</v>
      </c>
      <c r="D17" s="738" t="s">
        <v>134</v>
      </c>
      <c r="E17" s="71"/>
      <c r="F17" s="136">
        <f>Макро!F89</f>
        <v>950</v>
      </c>
      <c r="G17" s="136">
        <f>Макро!G89</f>
        <v>978.5</v>
      </c>
      <c r="H17" s="136">
        <f>Макро!H89</f>
        <v>1002.9624999999999</v>
      </c>
      <c r="I17" s="136">
        <f>Макро!I89</f>
        <v>1028.0365624999997</v>
      </c>
      <c r="J17" s="136">
        <f>Макро!J89</f>
        <v>1053.7374765624995</v>
      </c>
      <c r="K17" s="136">
        <f>Макро!K89</f>
        <v>1080.0809134765618</v>
      </c>
      <c r="L17" s="136">
        <f>Макро!L89</f>
        <v>1096.2821271787102</v>
      </c>
      <c r="M17" s="136">
        <f>Макро!M89</f>
        <v>1112.7263590863906</v>
      </c>
      <c r="N17" s="136">
        <f>Макро!N89</f>
        <v>1129.4172544726864</v>
      </c>
      <c r="O17" s="136">
        <f>Макро!O89</f>
        <v>1146.3585132897765</v>
      </c>
      <c r="P17" s="71"/>
      <c r="Q17" s="133"/>
      <c r="R17" s="71"/>
      <c r="S17" s="159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133"/>
    </row>
    <row r="18" spans="1:32" x14ac:dyDescent="0.25">
      <c r="A18" s="149"/>
      <c r="B18" s="178"/>
      <c r="C18" s="149"/>
      <c r="D18" s="149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159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</row>
    <row r="19" spans="1:32" s="6" customFormat="1" x14ac:dyDescent="0.25">
      <c r="A19" s="420"/>
      <c r="B19" s="577" t="s">
        <v>468</v>
      </c>
      <c r="C19" s="739" t="s">
        <v>19</v>
      </c>
      <c r="D19" s="248">
        <f>SUM(F19:O19)</f>
        <v>8011.2168796090273</v>
      </c>
      <c r="E19" s="124"/>
      <c r="F19" s="615">
        <f t="shared" ref="F19:O19" si="7">F20*F21</f>
        <v>0</v>
      </c>
      <c r="G19" s="615">
        <f t="shared" si="7"/>
        <v>0</v>
      </c>
      <c r="H19" s="615">
        <f t="shared" si="7"/>
        <v>869.43999999999994</v>
      </c>
      <c r="I19" s="615">
        <f t="shared" si="7"/>
        <v>904.21759999999995</v>
      </c>
      <c r="J19" s="615">
        <f t="shared" si="7"/>
        <v>940.38630399999988</v>
      </c>
      <c r="K19" s="615">
        <f t="shared" si="7"/>
        <v>978.0017561599999</v>
      </c>
      <c r="L19" s="615">
        <f t="shared" si="7"/>
        <v>1017.1218264064</v>
      </c>
      <c r="M19" s="615">
        <f t="shared" si="7"/>
        <v>1057.8066994626561</v>
      </c>
      <c r="N19" s="615">
        <f t="shared" si="7"/>
        <v>1100.1189674411623</v>
      </c>
      <c r="O19" s="615">
        <f t="shared" si="7"/>
        <v>1144.1237261388089</v>
      </c>
      <c r="P19" s="124"/>
      <c r="Q19" s="608"/>
      <c r="R19" s="124"/>
      <c r="S19" s="606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608"/>
    </row>
    <row r="20" spans="1:32" x14ac:dyDescent="0.25">
      <c r="A20" s="226" t="str" cm="1">
        <f t="array" aca="1" ref="A20" ca="1">HYPERLINK(CELL("адрес",Исходные!A45),"источник")</f>
        <v>источник</v>
      </c>
      <c r="B20" s="178" t="s">
        <v>472</v>
      </c>
      <c r="C20" s="191" t="s">
        <v>890</v>
      </c>
      <c r="D20" s="248">
        <f>SUM(F20:O20)</f>
        <v>800</v>
      </c>
      <c r="E20" s="71"/>
      <c r="F20" s="389">
        <f>Исходные!F45</f>
        <v>0</v>
      </c>
      <c r="G20" s="389">
        <f>Исходные!G45</f>
        <v>0</v>
      </c>
      <c r="H20" s="389">
        <f>Исходные!H45</f>
        <v>100</v>
      </c>
      <c r="I20" s="389">
        <f>Исходные!I45</f>
        <v>100</v>
      </c>
      <c r="J20" s="389">
        <f>Исходные!J45</f>
        <v>100</v>
      </c>
      <c r="K20" s="389">
        <f>Исходные!K45</f>
        <v>100</v>
      </c>
      <c r="L20" s="389">
        <f>Исходные!L45</f>
        <v>100</v>
      </c>
      <c r="M20" s="389">
        <f>Исходные!M45</f>
        <v>100</v>
      </c>
      <c r="N20" s="389">
        <f>Исходные!N45</f>
        <v>100</v>
      </c>
      <c r="O20" s="389">
        <f>Исходные!O45</f>
        <v>100</v>
      </c>
      <c r="P20" s="71"/>
      <c r="Q20" s="133"/>
      <c r="R20" s="71"/>
      <c r="S20" s="159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133"/>
    </row>
    <row r="21" spans="1:32" x14ac:dyDescent="0.25">
      <c r="A21" s="226" t="str" cm="1">
        <f t="array" aca="1" ref="A21" ca="1">HYPERLINK(CELL("адрес",Макро!A91),"источник")</f>
        <v>источник</v>
      </c>
      <c r="B21" s="178" t="s">
        <v>265</v>
      </c>
      <c r="C21" s="191" t="s">
        <v>186</v>
      </c>
      <c r="D21" s="738" t="s">
        <v>134</v>
      </c>
      <c r="E21" s="71"/>
      <c r="F21" s="136">
        <f>Макро!F91</f>
        <v>8</v>
      </c>
      <c r="G21" s="136">
        <f>Макро!G91</f>
        <v>8.36</v>
      </c>
      <c r="H21" s="136">
        <f>Макро!H91</f>
        <v>8.6943999999999999</v>
      </c>
      <c r="I21" s="136">
        <f>Макро!I91</f>
        <v>9.0421759999999995</v>
      </c>
      <c r="J21" s="136">
        <f>Макро!J91</f>
        <v>9.4038630399999992</v>
      </c>
      <c r="K21" s="136">
        <f>Макро!K91</f>
        <v>9.7800175615999994</v>
      </c>
      <c r="L21" s="136">
        <f>Макро!L91</f>
        <v>10.171218264064001</v>
      </c>
      <c r="M21" s="136">
        <f>Макро!M91</f>
        <v>10.57806699462656</v>
      </c>
      <c r="N21" s="136">
        <f>Макро!N91</f>
        <v>11.001189674411624</v>
      </c>
      <c r="O21" s="136">
        <f>Макро!O91</f>
        <v>11.441237261388089</v>
      </c>
      <c r="P21" s="71"/>
      <c r="Q21" s="133"/>
      <c r="R21" s="71"/>
      <c r="S21" s="159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133"/>
    </row>
    <row r="22" spans="1:32" x14ac:dyDescent="0.25">
      <c r="A22" s="149"/>
      <c r="B22" s="178"/>
      <c r="C22" s="149"/>
      <c r="D22" s="149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159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</row>
    <row r="23" spans="1:32" s="6" customFormat="1" x14ac:dyDescent="0.25">
      <c r="A23" s="420"/>
      <c r="B23" s="577" t="s">
        <v>474</v>
      </c>
      <c r="C23" s="739" t="s">
        <v>19</v>
      </c>
      <c r="D23" s="248">
        <f>SUM(F23:O23)</f>
        <v>27132.797473900395</v>
      </c>
      <c r="E23" s="124"/>
      <c r="F23" s="615">
        <f t="shared" ref="F23:O23" si="8">F24*F25</f>
        <v>2250</v>
      </c>
      <c r="G23" s="615">
        <f t="shared" si="8"/>
        <v>2351.25</v>
      </c>
      <c r="H23" s="615">
        <f t="shared" si="8"/>
        <v>2445.2999999999997</v>
      </c>
      <c r="I23" s="615">
        <f t="shared" si="8"/>
        <v>2543.1120000000001</v>
      </c>
      <c r="J23" s="615">
        <f t="shared" si="8"/>
        <v>2644.8364799999999</v>
      </c>
      <c r="K23" s="615">
        <f t="shared" si="8"/>
        <v>2750.6299392000001</v>
      </c>
      <c r="L23" s="615">
        <f t="shared" si="8"/>
        <v>2860.6551367680004</v>
      </c>
      <c r="M23" s="615">
        <f t="shared" si="8"/>
        <v>2975.0813422387205</v>
      </c>
      <c r="N23" s="615">
        <f t="shared" si="8"/>
        <v>3094.0845959282697</v>
      </c>
      <c r="O23" s="615">
        <f t="shared" si="8"/>
        <v>3217.8479797654009</v>
      </c>
      <c r="P23" s="124"/>
      <c r="Q23" s="608"/>
      <c r="R23" s="124"/>
      <c r="S23" s="159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608"/>
    </row>
    <row r="24" spans="1:32" x14ac:dyDescent="0.25">
      <c r="A24" s="226" t="str" cm="1">
        <f t="array" aca="1" ref="A24" ca="1">HYPERLINK(CELL("адрес",Исходные!A48),"источник")</f>
        <v>источник</v>
      </c>
      <c r="B24" s="178" t="s">
        <v>473</v>
      </c>
      <c r="C24" s="191" t="s">
        <v>890</v>
      </c>
      <c r="D24" s="248">
        <f>SUM(F24:O24)</f>
        <v>500</v>
      </c>
      <c r="E24" s="71"/>
      <c r="F24" s="389">
        <f>Исходные!F48</f>
        <v>50</v>
      </c>
      <c r="G24" s="389">
        <f>Исходные!G48</f>
        <v>50</v>
      </c>
      <c r="H24" s="389">
        <f>Исходные!H48</f>
        <v>50</v>
      </c>
      <c r="I24" s="389">
        <f>Исходные!I48</f>
        <v>50</v>
      </c>
      <c r="J24" s="389">
        <f>Исходные!J48</f>
        <v>50</v>
      </c>
      <c r="K24" s="389">
        <f>Исходные!K48</f>
        <v>50</v>
      </c>
      <c r="L24" s="389">
        <f>Исходные!L48</f>
        <v>50</v>
      </c>
      <c r="M24" s="389">
        <f>Исходные!M48</f>
        <v>50</v>
      </c>
      <c r="N24" s="389">
        <f>Исходные!N48</f>
        <v>50</v>
      </c>
      <c r="O24" s="389">
        <f>Исходные!O48</f>
        <v>50</v>
      </c>
      <c r="P24" s="71"/>
      <c r="Q24" s="133"/>
      <c r="R24" s="71"/>
      <c r="S24" s="159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133"/>
    </row>
    <row r="25" spans="1:32" x14ac:dyDescent="0.25">
      <c r="A25" s="226" t="str" cm="1">
        <f t="array" aca="1" ref="A25" ca="1">HYPERLINK(CELL("адрес",Макро!A92),"источник")</f>
        <v>источник</v>
      </c>
      <c r="B25" s="178" t="s">
        <v>265</v>
      </c>
      <c r="C25" s="191" t="s">
        <v>186</v>
      </c>
      <c r="D25" s="738" t="s">
        <v>134</v>
      </c>
      <c r="E25" s="71"/>
      <c r="F25" s="136">
        <f>Макро!F92</f>
        <v>45</v>
      </c>
      <c r="G25" s="136">
        <f>Макро!G92</f>
        <v>47.024999999999999</v>
      </c>
      <c r="H25" s="136">
        <f>Макро!H92</f>
        <v>48.905999999999999</v>
      </c>
      <c r="I25" s="136">
        <f>Макро!I92</f>
        <v>50.86224</v>
      </c>
      <c r="J25" s="136">
        <f>Макро!J92</f>
        <v>52.8967296</v>
      </c>
      <c r="K25" s="136">
        <f>Макро!K92</f>
        <v>55.012598784000005</v>
      </c>
      <c r="L25" s="136">
        <f>Макро!L92</f>
        <v>57.21310273536001</v>
      </c>
      <c r="M25" s="136">
        <f>Макро!M92</f>
        <v>59.501626844774414</v>
      </c>
      <c r="N25" s="136">
        <f>Макро!N92</f>
        <v>61.881691918565394</v>
      </c>
      <c r="O25" s="136">
        <f>Макро!O92</f>
        <v>64.356959595308012</v>
      </c>
      <c r="P25" s="71"/>
      <c r="Q25" s="133"/>
      <c r="R25" s="71"/>
      <c r="S25" s="159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133"/>
    </row>
    <row r="26" spans="1:32" x14ac:dyDescent="0.25">
      <c r="A26" s="149"/>
      <c r="B26" s="178"/>
      <c r="C26" s="149"/>
      <c r="D26" s="149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159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</row>
    <row r="27" spans="1:32" s="6" customFormat="1" ht="29.25" x14ac:dyDescent="0.25">
      <c r="A27" s="420"/>
      <c r="B27" s="577" t="s">
        <v>471</v>
      </c>
      <c r="C27" s="739" t="s">
        <v>19</v>
      </c>
      <c r="D27" s="248">
        <f>SUM(F27:O27)</f>
        <v>32087.063298533856</v>
      </c>
      <c r="E27" s="124"/>
      <c r="F27" s="615">
        <f t="shared" ref="F27:O27" si="9">F28*F29</f>
        <v>1000</v>
      </c>
      <c r="G27" s="615">
        <f t="shared" si="9"/>
        <v>1045</v>
      </c>
      <c r="H27" s="615">
        <f t="shared" si="9"/>
        <v>3260.4</v>
      </c>
      <c r="I27" s="615">
        <f t="shared" si="9"/>
        <v>3390.8160000000003</v>
      </c>
      <c r="J27" s="615">
        <f t="shared" si="9"/>
        <v>3526.4486400000005</v>
      </c>
      <c r="K27" s="615">
        <f t="shared" si="9"/>
        <v>3667.5065856000006</v>
      </c>
      <c r="L27" s="615">
        <f t="shared" si="9"/>
        <v>3814.2068490240008</v>
      </c>
      <c r="M27" s="615">
        <f t="shared" si="9"/>
        <v>3966.7751229849614</v>
      </c>
      <c r="N27" s="615">
        <f t="shared" si="9"/>
        <v>4125.4461279043599</v>
      </c>
      <c r="O27" s="615">
        <f t="shared" si="9"/>
        <v>4290.4639730205336</v>
      </c>
      <c r="P27" s="124"/>
      <c r="Q27" s="608"/>
      <c r="R27" s="124"/>
      <c r="S27" s="159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608"/>
    </row>
    <row r="28" spans="1:32" ht="30" x14ac:dyDescent="0.25">
      <c r="A28" s="226" t="str" cm="1">
        <f t="array" aca="1" ref="A28" ca="1">HYPERLINK(CELL("адрес",Исходные!A48),"источник")</f>
        <v>источник</v>
      </c>
      <c r="B28" s="178" t="s">
        <v>469</v>
      </c>
      <c r="C28" s="191" t="s">
        <v>890</v>
      </c>
      <c r="D28" s="248">
        <f>SUM(F28:O28)</f>
        <v>1300</v>
      </c>
      <c r="E28" s="71"/>
      <c r="F28" s="389">
        <f>Исходные!F51</f>
        <v>50</v>
      </c>
      <c r="G28" s="389">
        <f>Исходные!G51</f>
        <v>50</v>
      </c>
      <c r="H28" s="389">
        <f>Исходные!H51</f>
        <v>150</v>
      </c>
      <c r="I28" s="389">
        <f>Исходные!I51</f>
        <v>150</v>
      </c>
      <c r="J28" s="389">
        <f>Исходные!J51</f>
        <v>150</v>
      </c>
      <c r="K28" s="389">
        <f>Исходные!K51</f>
        <v>150</v>
      </c>
      <c r="L28" s="389">
        <f>Исходные!L51</f>
        <v>150</v>
      </c>
      <c r="M28" s="389">
        <f>Исходные!M51</f>
        <v>150</v>
      </c>
      <c r="N28" s="389">
        <f>Исходные!N51</f>
        <v>150</v>
      </c>
      <c r="O28" s="389">
        <f>Исходные!O51</f>
        <v>150</v>
      </c>
      <c r="P28" s="71"/>
      <c r="Q28" s="133"/>
      <c r="R28" s="71"/>
      <c r="S28" s="159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133"/>
    </row>
    <row r="29" spans="1:32" x14ac:dyDescent="0.25">
      <c r="A29" s="226" t="str" cm="1">
        <f t="array" aca="1" ref="A29" ca="1">HYPERLINK(CELL("адрес",Макро!A93),"источник")</f>
        <v>источник</v>
      </c>
      <c r="B29" s="178" t="s">
        <v>265</v>
      </c>
      <c r="C29" s="191" t="s">
        <v>186</v>
      </c>
      <c r="D29" s="738" t="s">
        <v>134</v>
      </c>
      <c r="E29" s="71"/>
      <c r="F29" s="136">
        <f>Макро!F93</f>
        <v>20</v>
      </c>
      <c r="G29" s="136">
        <f>Макро!G93</f>
        <v>20.9</v>
      </c>
      <c r="H29" s="136">
        <f>Макро!H93</f>
        <v>21.736000000000001</v>
      </c>
      <c r="I29" s="136">
        <f>Макро!I93</f>
        <v>22.605440000000002</v>
      </c>
      <c r="J29" s="136">
        <f>Макро!J93</f>
        <v>23.509657600000004</v>
      </c>
      <c r="K29" s="136">
        <f>Макро!K93</f>
        <v>24.450043904000005</v>
      </c>
      <c r="L29" s="136">
        <f>Макро!L93</f>
        <v>25.428045660160006</v>
      </c>
      <c r="M29" s="136">
        <f>Макро!M93</f>
        <v>26.445167486566408</v>
      </c>
      <c r="N29" s="136">
        <f>Макро!N93</f>
        <v>27.502974186029064</v>
      </c>
      <c r="O29" s="136">
        <f>Макро!O93</f>
        <v>28.603093153470226</v>
      </c>
      <c r="P29" s="71"/>
      <c r="Q29" s="133"/>
      <c r="R29" s="71"/>
      <c r="S29" s="15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133"/>
    </row>
    <row r="30" spans="1:32" x14ac:dyDescent="0.25">
      <c r="A30" s="149"/>
      <c r="B30" s="178"/>
      <c r="C30" s="149"/>
      <c r="D30" s="149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159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2" s="6" customFormat="1" ht="29.25" x14ac:dyDescent="0.25">
      <c r="A31" s="420"/>
      <c r="B31" s="577" t="s">
        <v>475</v>
      </c>
      <c r="C31" s="739" t="s">
        <v>19</v>
      </c>
      <c r="D31" s="248">
        <f>SUM(F31:O31)</f>
        <v>0</v>
      </c>
      <c r="E31" s="124"/>
      <c r="F31" s="615">
        <f t="shared" ref="F31:O31" si="10">F32*F33</f>
        <v>0</v>
      </c>
      <c r="G31" s="615">
        <f t="shared" si="10"/>
        <v>0</v>
      </c>
      <c r="H31" s="615">
        <f t="shared" si="10"/>
        <v>0</v>
      </c>
      <c r="I31" s="615">
        <f t="shared" si="10"/>
        <v>0</v>
      </c>
      <c r="J31" s="615">
        <f t="shared" si="10"/>
        <v>0</v>
      </c>
      <c r="K31" s="615">
        <f t="shared" si="10"/>
        <v>0</v>
      </c>
      <c r="L31" s="615">
        <f t="shared" si="10"/>
        <v>0</v>
      </c>
      <c r="M31" s="615">
        <f t="shared" si="10"/>
        <v>0</v>
      </c>
      <c r="N31" s="615">
        <f t="shared" si="10"/>
        <v>0</v>
      </c>
      <c r="O31" s="615">
        <f t="shared" si="10"/>
        <v>0</v>
      </c>
      <c r="P31" s="124"/>
      <c r="Q31" s="608"/>
      <c r="R31" s="124"/>
      <c r="S31" s="159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608"/>
    </row>
    <row r="32" spans="1:32" ht="30" x14ac:dyDescent="0.25">
      <c r="A32" s="226" t="str" cm="1">
        <f t="array" aca="1" ref="A32" ca="1">HYPERLINK(CELL("адрес",Исходные!A54),"источник")</f>
        <v>источник</v>
      </c>
      <c r="B32" s="178" t="s">
        <v>475</v>
      </c>
      <c r="C32" s="191" t="s">
        <v>890</v>
      </c>
      <c r="D32" s="248">
        <f>SUM(F32:O32)</f>
        <v>0</v>
      </c>
      <c r="E32" s="71"/>
      <c r="F32" s="389">
        <f>Исходные!F54</f>
        <v>0</v>
      </c>
      <c r="G32" s="389">
        <f>Исходные!G54</f>
        <v>0</v>
      </c>
      <c r="H32" s="389">
        <f>Исходные!H54</f>
        <v>0</v>
      </c>
      <c r="I32" s="389">
        <f>Исходные!I54</f>
        <v>0</v>
      </c>
      <c r="J32" s="389">
        <f>Исходные!J54</f>
        <v>0</v>
      </c>
      <c r="K32" s="389">
        <f>Исходные!K54</f>
        <v>0</v>
      </c>
      <c r="L32" s="389">
        <f>Исходные!L54</f>
        <v>0</v>
      </c>
      <c r="M32" s="389">
        <f>Исходные!M54</f>
        <v>0</v>
      </c>
      <c r="N32" s="389">
        <f>Исходные!N54</f>
        <v>0</v>
      </c>
      <c r="O32" s="389">
        <f>Исходные!O54</f>
        <v>0</v>
      </c>
      <c r="P32" s="71"/>
      <c r="Q32" s="133"/>
      <c r="R32" s="71"/>
      <c r="S32" s="159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133"/>
    </row>
    <row r="33" spans="1:32" x14ac:dyDescent="0.25">
      <c r="A33" s="226" t="str" cm="1">
        <f t="array" aca="1" ref="A33" ca="1">HYPERLINK(CELL("адрес",Макро!A94),"источник")</f>
        <v>источник</v>
      </c>
      <c r="B33" s="178" t="s">
        <v>265</v>
      </c>
      <c r="C33" s="191" t="s">
        <v>186</v>
      </c>
      <c r="D33" s="738" t="s">
        <v>134</v>
      </c>
      <c r="E33" s="71"/>
      <c r="F33" s="136">
        <f>Макро!F94</f>
        <v>0</v>
      </c>
      <c r="G33" s="136">
        <f>Макро!G94</f>
        <v>0</v>
      </c>
      <c r="H33" s="136">
        <f>Макро!H94</f>
        <v>0</v>
      </c>
      <c r="I33" s="136">
        <f>Макро!I94</f>
        <v>0</v>
      </c>
      <c r="J33" s="136">
        <f>Макро!J94</f>
        <v>0</v>
      </c>
      <c r="K33" s="136">
        <f>Макро!K94</f>
        <v>0</v>
      </c>
      <c r="L33" s="136">
        <f>Макро!L94</f>
        <v>0</v>
      </c>
      <c r="M33" s="136">
        <f>Макро!M94</f>
        <v>0</v>
      </c>
      <c r="N33" s="136">
        <f>Макро!N94</f>
        <v>0</v>
      </c>
      <c r="O33" s="136">
        <f>Макро!O94</f>
        <v>0</v>
      </c>
      <c r="P33" s="71"/>
      <c r="Q33" s="133"/>
      <c r="R33" s="71"/>
      <c r="S33" s="159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133"/>
    </row>
    <row r="34" spans="1:32" x14ac:dyDescent="0.25">
      <c r="A34" s="149"/>
      <c r="B34" s="178"/>
      <c r="C34" s="149"/>
      <c r="D34" s="149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159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</row>
    <row r="35" spans="1:32" s="6" customFormat="1" x14ac:dyDescent="0.25">
      <c r="A35" s="420"/>
      <c r="B35" s="577" t="s">
        <v>264</v>
      </c>
      <c r="C35" s="739" t="s">
        <v>19</v>
      </c>
      <c r="D35" s="248">
        <f>SUM(F35:O35)</f>
        <v>6029.5105497556424</v>
      </c>
      <c r="E35" s="124"/>
      <c r="F35" s="615">
        <f t="shared" ref="F35:O35" si="11">F36*F37</f>
        <v>500</v>
      </c>
      <c r="G35" s="615">
        <f t="shared" si="11"/>
        <v>522.5</v>
      </c>
      <c r="H35" s="615">
        <f t="shared" si="11"/>
        <v>543.4</v>
      </c>
      <c r="I35" s="615">
        <f t="shared" si="11"/>
        <v>565.13600000000008</v>
      </c>
      <c r="J35" s="615">
        <f t="shared" si="11"/>
        <v>587.74144000000013</v>
      </c>
      <c r="K35" s="615">
        <f t="shared" si="11"/>
        <v>611.25109760000009</v>
      </c>
      <c r="L35" s="615">
        <f t="shared" si="11"/>
        <v>635.70114150400013</v>
      </c>
      <c r="M35" s="615">
        <f t="shared" si="11"/>
        <v>661.12918716416016</v>
      </c>
      <c r="N35" s="615">
        <f t="shared" si="11"/>
        <v>687.5743546507266</v>
      </c>
      <c r="O35" s="615">
        <f t="shared" si="11"/>
        <v>715.07732883675567</v>
      </c>
      <c r="P35" s="124"/>
      <c r="Q35" s="608"/>
      <c r="R35" s="124"/>
      <c r="S35" s="159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608"/>
    </row>
    <row r="36" spans="1:32" x14ac:dyDescent="0.25">
      <c r="A36" s="226" t="str" cm="1">
        <f t="array" aca="1" ref="A36" ca="1">HYPERLINK(CELL("адрес",Исходные!A57),"источник")</f>
        <v>источник</v>
      </c>
      <c r="B36" s="178" t="s">
        <v>264</v>
      </c>
      <c r="C36" s="191" t="s">
        <v>890</v>
      </c>
      <c r="D36" s="248">
        <f>SUM(F36:O36)</f>
        <v>1000</v>
      </c>
      <c r="E36" s="71"/>
      <c r="F36" s="389">
        <f>Исходные!F57</f>
        <v>100</v>
      </c>
      <c r="G36" s="389">
        <f>Исходные!G57</f>
        <v>100</v>
      </c>
      <c r="H36" s="389">
        <f>Исходные!H57</f>
        <v>100</v>
      </c>
      <c r="I36" s="389">
        <f>Исходные!I57</f>
        <v>100</v>
      </c>
      <c r="J36" s="389">
        <f>Исходные!J57</f>
        <v>100</v>
      </c>
      <c r="K36" s="389">
        <f>Исходные!K57</f>
        <v>100</v>
      </c>
      <c r="L36" s="389">
        <f>Исходные!L57</f>
        <v>100</v>
      </c>
      <c r="M36" s="389">
        <f>Исходные!M57</f>
        <v>100</v>
      </c>
      <c r="N36" s="389">
        <f>Исходные!N57</f>
        <v>100</v>
      </c>
      <c r="O36" s="389">
        <f>Исходные!O57</f>
        <v>100</v>
      </c>
      <c r="P36" s="71"/>
      <c r="Q36" s="133"/>
      <c r="R36" s="71"/>
      <c r="S36" s="159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133"/>
    </row>
    <row r="37" spans="1:32" x14ac:dyDescent="0.25">
      <c r="A37" s="226" t="str" cm="1">
        <f t="array" aca="1" ref="A37" ca="1">HYPERLINK(CELL("адрес",Макро!A95),"источник")</f>
        <v>источник</v>
      </c>
      <c r="B37" s="178" t="s">
        <v>265</v>
      </c>
      <c r="C37" s="191" t="s">
        <v>186</v>
      </c>
      <c r="D37" s="738" t="s">
        <v>134</v>
      </c>
      <c r="E37" s="71"/>
      <c r="F37" s="136">
        <f>Макро!F95</f>
        <v>5</v>
      </c>
      <c r="G37" s="136">
        <f>Макро!G95</f>
        <v>5.2249999999999996</v>
      </c>
      <c r="H37" s="136">
        <f>Макро!H95</f>
        <v>5.4340000000000002</v>
      </c>
      <c r="I37" s="136">
        <f>Макро!I95</f>
        <v>5.6513600000000004</v>
      </c>
      <c r="J37" s="136">
        <f>Макро!J95</f>
        <v>5.877414400000001</v>
      </c>
      <c r="K37" s="136">
        <f>Макро!K95</f>
        <v>6.1125109760000012</v>
      </c>
      <c r="L37" s="136">
        <f>Макро!L95</f>
        <v>6.3570114150400014</v>
      </c>
      <c r="M37" s="136">
        <f>Макро!M95</f>
        <v>6.611291871641602</v>
      </c>
      <c r="N37" s="136">
        <f>Макро!N95</f>
        <v>6.875743546507266</v>
      </c>
      <c r="O37" s="136">
        <f>Макро!O95</f>
        <v>7.1507732883675565</v>
      </c>
      <c r="P37" s="71"/>
      <c r="Q37" s="133"/>
      <c r="R37" s="71"/>
      <c r="S37" s="15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133"/>
    </row>
    <row r="38" spans="1:32" x14ac:dyDescent="0.25">
      <c r="A38" s="149"/>
      <c r="B38" s="178"/>
      <c r="C38" s="149"/>
      <c r="D38" s="149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59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</row>
    <row r="39" spans="1:32" s="6" customFormat="1" x14ac:dyDescent="0.25">
      <c r="A39" s="420"/>
      <c r="B39" s="577" t="s">
        <v>187</v>
      </c>
      <c r="C39" s="739" t="s">
        <v>19</v>
      </c>
      <c r="D39" s="248">
        <f>SUM(F39:O39)</f>
        <v>0</v>
      </c>
      <c r="E39" s="124"/>
      <c r="F39" s="615">
        <f t="shared" ref="F39:O39" si="12">F40*F41</f>
        <v>0</v>
      </c>
      <c r="G39" s="615">
        <f t="shared" si="12"/>
        <v>0</v>
      </c>
      <c r="H39" s="615">
        <f t="shared" si="12"/>
        <v>0</v>
      </c>
      <c r="I39" s="615">
        <f t="shared" si="12"/>
        <v>0</v>
      </c>
      <c r="J39" s="615">
        <f t="shared" si="12"/>
        <v>0</v>
      </c>
      <c r="K39" s="615">
        <f t="shared" si="12"/>
        <v>0</v>
      </c>
      <c r="L39" s="615">
        <f t="shared" si="12"/>
        <v>0</v>
      </c>
      <c r="M39" s="615">
        <f t="shared" si="12"/>
        <v>0</v>
      </c>
      <c r="N39" s="615">
        <f t="shared" si="12"/>
        <v>0</v>
      </c>
      <c r="O39" s="615">
        <f t="shared" si="12"/>
        <v>0</v>
      </c>
      <c r="P39" s="124"/>
      <c r="Q39" s="608"/>
      <c r="R39" s="124"/>
      <c r="S39" s="159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608"/>
    </row>
    <row r="40" spans="1:32" x14ac:dyDescent="0.25">
      <c r="A40" s="226" t="str" cm="1">
        <f t="array" aca="1" ref="A40" ca="1">HYPERLINK(CELL("адрес",Исходные!A60),"источник")</f>
        <v>источник</v>
      </c>
      <c r="B40" s="178" t="s">
        <v>187</v>
      </c>
      <c r="C40" s="191" t="s">
        <v>894</v>
      </c>
      <c r="D40" s="248">
        <f>SUM(F40:O40)</f>
        <v>0</v>
      </c>
      <c r="E40" s="71"/>
      <c r="F40" s="389">
        <f>Исходные!F60</f>
        <v>0</v>
      </c>
      <c r="G40" s="389">
        <f>Исходные!G60</f>
        <v>0</v>
      </c>
      <c r="H40" s="389">
        <f>Исходные!H60</f>
        <v>0</v>
      </c>
      <c r="I40" s="389">
        <f>Исходные!I60</f>
        <v>0</v>
      </c>
      <c r="J40" s="389">
        <f>Исходные!J60</f>
        <v>0</v>
      </c>
      <c r="K40" s="389">
        <f>Исходные!K60</f>
        <v>0</v>
      </c>
      <c r="L40" s="389">
        <f>Исходные!L60</f>
        <v>0</v>
      </c>
      <c r="M40" s="389">
        <f>Исходные!M60</f>
        <v>0</v>
      </c>
      <c r="N40" s="389">
        <f>Исходные!N60</f>
        <v>0</v>
      </c>
      <c r="O40" s="389">
        <f>Исходные!O60</f>
        <v>0</v>
      </c>
      <c r="P40" s="71"/>
      <c r="Q40" s="133"/>
      <c r="R40" s="71"/>
      <c r="S40" s="159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33"/>
    </row>
    <row r="41" spans="1:32" x14ac:dyDescent="0.25">
      <c r="A41" s="226" t="str" cm="1">
        <f t="array" aca="1" ref="A41" ca="1">HYPERLINK(CELL("адрес",Макро!A97),"источник")</f>
        <v>источник</v>
      </c>
      <c r="B41" s="178" t="s">
        <v>265</v>
      </c>
      <c r="C41" s="191" t="s">
        <v>893</v>
      </c>
      <c r="D41" s="738" t="s">
        <v>134</v>
      </c>
      <c r="E41" s="71"/>
      <c r="F41" s="389">
        <f>Макро!F97</f>
        <v>2140</v>
      </c>
      <c r="G41" s="389">
        <f>Макро!G97</f>
        <v>2204.2000000000003</v>
      </c>
      <c r="H41" s="389">
        <f>Макро!H97</f>
        <v>2259.3050000000003</v>
      </c>
      <c r="I41" s="389">
        <f>Макро!I97</f>
        <v>2315.7876249999999</v>
      </c>
      <c r="J41" s="389">
        <f>Макро!J97</f>
        <v>2373.6823156249998</v>
      </c>
      <c r="K41" s="389">
        <f>Макро!K97</f>
        <v>2433.0243735156246</v>
      </c>
      <c r="L41" s="389">
        <f>Макро!L97</f>
        <v>2469.5197391183588</v>
      </c>
      <c r="M41" s="389">
        <f>Макро!M97</f>
        <v>2506.5625352051338</v>
      </c>
      <c r="N41" s="389">
        <f>Макро!N97</f>
        <v>2544.1609732332104</v>
      </c>
      <c r="O41" s="389">
        <f>Макро!O97</f>
        <v>2582.3233878317083</v>
      </c>
      <c r="P41" s="71"/>
      <c r="Q41" s="133"/>
      <c r="R41" s="71"/>
      <c r="S41" s="159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133"/>
    </row>
    <row r="42" spans="1:32" x14ac:dyDescent="0.25">
      <c r="A42" s="149"/>
      <c r="B42" s="178"/>
      <c r="C42" s="149"/>
      <c r="D42" s="149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159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</row>
    <row r="43" spans="1:32" x14ac:dyDescent="0.25">
      <c r="A43" s="242"/>
      <c r="B43" s="178"/>
      <c r="C43" s="191"/>
      <c r="D43" s="149"/>
      <c r="E43" s="71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71"/>
      <c r="Q43" s="133"/>
      <c r="R43" s="71"/>
      <c r="S43" s="159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33"/>
    </row>
    <row r="44" spans="1:32" s="6" customFormat="1" x14ac:dyDescent="0.25">
      <c r="A44" s="420"/>
      <c r="B44" s="577" t="s">
        <v>188</v>
      </c>
      <c r="C44" s="739" t="s">
        <v>19</v>
      </c>
      <c r="D44" s="248">
        <f>SUM(F44:O44)</f>
        <v>42562.72077644329</v>
      </c>
      <c r="E44" s="124"/>
      <c r="F44" s="615">
        <f t="shared" ref="F44:O44" si="13">F45*F46</f>
        <v>0</v>
      </c>
      <c r="G44" s="615">
        <f t="shared" si="13"/>
        <v>0</v>
      </c>
      <c r="H44" s="615">
        <f t="shared" si="13"/>
        <v>1351.3600000000001</v>
      </c>
      <c r="I44" s="615">
        <f t="shared" si="13"/>
        <v>5540.5759999999991</v>
      </c>
      <c r="J44" s="615">
        <f t="shared" si="13"/>
        <v>5679.0903999999991</v>
      </c>
      <c r="K44" s="615">
        <f t="shared" si="13"/>
        <v>5821.0676599999988</v>
      </c>
      <c r="L44" s="615">
        <f t="shared" si="13"/>
        <v>5908.3836748999975</v>
      </c>
      <c r="M44" s="615">
        <f t="shared" si="13"/>
        <v>5997.0094300234969</v>
      </c>
      <c r="N44" s="615">
        <f t="shared" si="13"/>
        <v>6086.964571473849</v>
      </c>
      <c r="O44" s="615">
        <f t="shared" si="13"/>
        <v>6178.269040045956</v>
      </c>
      <c r="P44" s="124"/>
      <c r="Q44" s="608"/>
      <c r="R44" s="124"/>
      <c r="S44" s="159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608"/>
    </row>
    <row r="45" spans="1:32" x14ac:dyDescent="0.25">
      <c r="A45" s="226" t="str" cm="1">
        <f t="array" aca="1" ref="A45" ca="1">HYPERLINK(CELL("адрес",Исходные!A63),"источник")</f>
        <v>источник</v>
      </c>
      <c r="B45" s="178" t="s">
        <v>188</v>
      </c>
      <c r="C45" s="191" t="s">
        <v>890</v>
      </c>
      <c r="D45" s="248">
        <f>SUM(F45:O45)</f>
        <v>5800</v>
      </c>
      <c r="E45" s="71"/>
      <c r="F45" s="389">
        <f>Исходные!F63</f>
        <v>0</v>
      </c>
      <c r="G45" s="389">
        <f>Исходные!G63</f>
        <v>0</v>
      </c>
      <c r="H45" s="389">
        <f>Исходные!H63</f>
        <v>200</v>
      </c>
      <c r="I45" s="389">
        <f>Исходные!I63</f>
        <v>800</v>
      </c>
      <c r="J45" s="389">
        <f>Исходные!J63</f>
        <v>800</v>
      </c>
      <c r="K45" s="389">
        <f>Исходные!K63</f>
        <v>800</v>
      </c>
      <c r="L45" s="389">
        <f>Исходные!L63</f>
        <v>800</v>
      </c>
      <c r="M45" s="389">
        <f>Исходные!M63</f>
        <v>800</v>
      </c>
      <c r="N45" s="389">
        <f>Исходные!N63</f>
        <v>800</v>
      </c>
      <c r="O45" s="389">
        <f>Исходные!O63</f>
        <v>800</v>
      </c>
      <c r="P45" s="71"/>
      <c r="Q45" s="133"/>
      <c r="R45" s="71"/>
      <c r="S45" s="159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133"/>
    </row>
    <row r="46" spans="1:32" x14ac:dyDescent="0.25">
      <c r="A46" s="226" t="str" cm="1">
        <f t="array" aca="1" ref="A46" ca="1">HYPERLINK(CELL("адрес",Макро!A99),"источник")</f>
        <v>источник</v>
      </c>
      <c r="B46" s="178" t="s">
        <v>265</v>
      </c>
      <c r="C46" s="191" t="s">
        <v>186</v>
      </c>
      <c r="D46" s="738" t="s">
        <v>134</v>
      </c>
      <c r="E46" s="71"/>
      <c r="F46" s="136">
        <f>Макро!F99</f>
        <v>6.4</v>
      </c>
      <c r="G46" s="136">
        <f>Макро!G99</f>
        <v>6.5920000000000005</v>
      </c>
      <c r="H46" s="136">
        <f>Макро!H99</f>
        <v>6.7568000000000001</v>
      </c>
      <c r="I46" s="136">
        <f>Макро!I99</f>
        <v>6.9257199999999992</v>
      </c>
      <c r="J46" s="136">
        <f>Макро!J99</f>
        <v>7.0988629999999988</v>
      </c>
      <c r="K46" s="136">
        <f>Макро!K99</f>
        <v>7.2763345749999981</v>
      </c>
      <c r="L46" s="136">
        <f>Макро!L99</f>
        <v>7.3854795936249973</v>
      </c>
      <c r="M46" s="136">
        <f>Макро!M99</f>
        <v>7.4962617875293711</v>
      </c>
      <c r="N46" s="136">
        <f>Макро!N99</f>
        <v>7.6087057143423111</v>
      </c>
      <c r="O46" s="136">
        <f>Макро!O99</f>
        <v>7.7228363000574447</v>
      </c>
      <c r="P46" s="71"/>
      <c r="Q46" s="133"/>
      <c r="R46" s="71"/>
      <c r="S46" s="159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133"/>
    </row>
    <row r="47" spans="1:32" x14ac:dyDescent="0.25">
      <c r="A47" s="149"/>
      <c r="B47" s="178"/>
      <c r="C47" s="149"/>
      <c r="D47" s="149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159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</row>
    <row r="48" spans="1:32" x14ac:dyDescent="0.25">
      <c r="A48" s="735"/>
      <c r="B48" s="566"/>
      <c r="C48" s="71"/>
      <c r="D48" s="560"/>
      <c r="E48" s="71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71"/>
      <c r="Q48" s="133"/>
      <c r="R48" s="71"/>
      <c r="S48" s="159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133"/>
    </row>
    <row r="49" spans="1:32" x14ac:dyDescent="0.25">
      <c r="A49" s="620"/>
      <c r="B49" s="182"/>
      <c r="C49" s="71"/>
      <c r="D49" s="133"/>
      <c r="E49" s="71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71"/>
      <c r="Q49" s="133"/>
      <c r="R49" s="71"/>
      <c r="S49" s="159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33"/>
    </row>
    <row r="50" spans="1:32" x14ac:dyDescent="0.25">
      <c r="A50" s="620"/>
      <c r="B50" s="182"/>
      <c r="C50" s="71"/>
      <c r="D50" s="133"/>
      <c r="E50" s="71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71"/>
      <c r="Q50" s="133"/>
      <c r="R50" s="71"/>
      <c r="S50" s="159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33"/>
    </row>
    <row r="51" spans="1:32" x14ac:dyDescent="0.25">
      <c r="A51" s="620"/>
      <c r="B51" s="182"/>
      <c r="C51" s="71"/>
      <c r="D51" s="133"/>
      <c r="E51" s="71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71"/>
      <c r="Q51" s="133"/>
      <c r="R51" s="71"/>
      <c r="S51" s="159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33"/>
    </row>
    <row r="52" spans="1:32" ht="15.75" thickBot="1" x14ac:dyDescent="0.3">
      <c r="A52" s="132"/>
      <c r="B52" s="179"/>
      <c r="C52" s="192"/>
      <c r="D52" s="132"/>
      <c r="E52" s="71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71"/>
      <c r="Q52" s="132"/>
      <c r="R52" s="71"/>
      <c r="S52" s="159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33"/>
    </row>
    <row r="53" spans="1:32" x14ac:dyDescent="0.25">
      <c r="A53" s="133"/>
      <c r="B53" s="182"/>
      <c r="C53" s="623"/>
      <c r="D53" s="133"/>
      <c r="E53" s="71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71"/>
      <c r="Q53" s="133"/>
      <c r="R53" s="71"/>
      <c r="S53" s="159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133"/>
    </row>
    <row r="54" spans="1:32" x14ac:dyDescent="0.25">
      <c r="A54" s="133"/>
      <c r="B54" s="182" t="s">
        <v>623</v>
      </c>
      <c r="C54" s="454" t="s">
        <v>327</v>
      </c>
      <c r="D54" s="618">
        <f t="shared" ref="D54:D62" si="14">SUM(F54:O54)</f>
        <v>85.18</v>
      </c>
      <c r="E54" s="71"/>
      <c r="F54" s="618">
        <f>SUM(F55:F62)</f>
        <v>4.6899999999999995</v>
      </c>
      <c r="G54" s="618">
        <f t="shared" ref="G54:O54" si="15">SUM(G55:G62)</f>
        <v>4.8800000000000008</v>
      </c>
      <c r="H54" s="618">
        <f t="shared" si="15"/>
        <v>8.11</v>
      </c>
      <c r="I54" s="618">
        <f t="shared" si="15"/>
        <v>8.6100000000000012</v>
      </c>
      <c r="J54" s="618">
        <f t="shared" si="15"/>
        <v>8.94</v>
      </c>
      <c r="K54" s="618">
        <f t="shared" si="15"/>
        <v>9.2899999999999991</v>
      </c>
      <c r="L54" s="618">
        <f t="shared" si="15"/>
        <v>9.620000000000001</v>
      </c>
      <c r="M54" s="618">
        <f t="shared" si="15"/>
        <v>9.98</v>
      </c>
      <c r="N54" s="618">
        <f t="shared" si="15"/>
        <v>10.339999999999998</v>
      </c>
      <c r="O54" s="618">
        <f t="shared" si="15"/>
        <v>10.72</v>
      </c>
      <c r="P54" s="71"/>
      <c r="Q54" s="133"/>
      <c r="R54" s="71"/>
      <c r="S54" s="159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33"/>
    </row>
    <row r="55" spans="1:32" ht="29.25" x14ac:dyDescent="0.25">
      <c r="A55" s="133"/>
      <c r="B55" s="621" t="s">
        <v>457</v>
      </c>
      <c r="C55" s="454" t="s">
        <v>327</v>
      </c>
      <c r="D55" s="619">
        <f t="shared" si="14"/>
        <v>11.9</v>
      </c>
      <c r="E55" s="71"/>
      <c r="F55" s="619">
        <f t="shared" ref="F55:O55" si="16">ROUND(F11/1000,2)</f>
        <v>0.94</v>
      </c>
      <c r="G55" s="619">
        <f t="shared" si="16"/>
        <v>0.96</v>
      </c>
      <c r="H55" s="619">
        <f t="shared" si="16"/>
        <v>0.99</v>
      </c>
      <c r="I55" s="619">
        <f t="shared" si="16"/>
        <v>1.21</v>
      </c>
      <c r="J55" s="619">
        <f t="shared" si="16"/>
        <v>1.24</v>
      </c>
      <c r="K55" s="619">
        <f t="shared" si="16"/>
        <v>1.28</v>
      </c>
      <c r="L55" s="619">
        <f t="shared" si="16"/>
        <v>1.29</v>
      </c>
      <c r="M55" s="619">
        <f t="shared" si="16"/>
        <v>1.31</v>
      </c>
      <c r="N55" s="619">
        <f t="shared" si="16"/>
        <v>1.33</v>
      </c>
      <c r="O55" s="619">
        <f t="shared" si="16"/>
        <v>1.35</v>
      </c>
      <c r="P55" s="71"/>
      <c r="Q55" s="133"/>
      <c r="R55" s="71"/>
      <c r="S55" s="159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33"/>
    </row>
    <row r="56" spans="1:32" x14ac:dyDescent="0.25">
      <c r="A56" s="133"/>
      <c r="B56" s="621" t="s">
        <v>456</v>
      </c>
      <c r="C56" s="454" t="s">
        <v>327</v>
      </c>
      <c r="D56" s="619">
        <f t="shared" si="14"/>
        <v>0</v>
      </c>
      <c r="E56" s="71"/>
      <c r="F56" s="619">
        <f>ROUND(F15/1000,2)</f>
        <v>0</v>
      </c>
      <c r="G56" s="619">
        <f t="shared" ref="G56:O56" si="17">ROUND(G15/1000,2)</f>
        <v>0</v>
      </c>
      <c r="H56" s="619">
        <f t="shared" si="17"/>
        <v>0</v>
      </c>
      <c r="I56" s="619">
        <f t="shared" si="17"/>
        <v>0</v>
      </c>
      <c r="J56" s="619">
        <f t="shared" si="17"/>
        <v>0</v>
      </c>
      <c r="K56" s="619">
        <f t="shared" si="17"/>
        <v>0</v>
      </c>
      <c r="L56" s="619">
        <f t="shared" si="17"/>
        <v>0</v>
      </c>
      <c r="M56" s="619">
        <f t="shared" si="17"/>
        <v>0</v>
      </c>
      <c r="N56" s="619">
        <f t="shared" si="17"/>
        <v>0</v>
      </c>
      <c r="O56" s="619">
        <f t="shared" si="17"/>
        <v>0</v>
      </c>
      <c r="P56" s="71"/>
      <c r="Q56" s="133"/>
      <c r="R56" s="71"/>
      <c r="S56" s="159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33"/>
    </row>
    <row r="57" spans="1:32" x14ac:dyDescent="0.25">
      <c r="A57" s="133"/>
      <c r="B57" s="622" t="s">
        <v>468</v>
      </c>
      <c r="C57" s="454" t="s">
        <v>327</v>
      </c>
      <c r="D57" s="619">
        <f t="shared" si="14"/>
        <v>8.01</v>
      </c>
      <c r="E57" s="71"/>
      <c r="F57" s="619">
        <f>ROUND(F19/1000,2)</f>
        <v>0</v>
      </c>
      <c r="G57" s="619">
        <f t="shared" ref="G57:O57" si="18">ROUND(G19/1000,2)</f>
        <v>0</v>
      </c>
      <c r="H57" s="619">
        <f t="shared" si="18"/>
        <v>0.87</v>
      </c>
      <c r="I57" s="619">
        <f t="shared" si="18"/>
        <v>0.9</v>
      </c>
      <c r="J57" s="619">
        <f t="shared" si="18"/>
        <v>0.94</v>
      </c>
      <c r="K57" s="619">
        <f t="shared" si="18"/>
        <v>0.98</v>
      </c>
      <c r="L57" s="619">
        <f t="shared" si="18"/>
        <v>1.02</v>
      </c>
      <c r="M57" s="619">
        <f t="shared" si="18"/>
        <v>1.06</v>
      </c>
      <c r="N57" s="619">
        <f t="shared" si="18"/>
        <v>1.1000000000000001</v>
      </c>
      <c r="O57" s="619">
        <f t="shared" si="18"/>
        <v>1.1399999999999999</v>
      </c>
      <c r="P57" s="71"/>
      <c r="Q57" s="133"/>
      <c r="R57" s="71"/>
      <c r="S57" s="159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33"/>
    </row>
    <row r="58" spans="1:32" x14ac:dyDescent="0.25">
      <c r="A58" s="133"/>
      <c r="B58" s="622" t="s">
        <v>474</v>
      </c>
      <c r="C58" s="454" t="s">
        <v>327</v>
      </c>
      <c r="D58" s="619">
        <f t="shared" si="14"/>
        <v>27.13</v>
      </c>
      <c r="E58" s="71"/>
      <c r="F58" s="619">
        <f>ROUND(F23/1000,2)</f>
        <v>2.25</v>
      </c>
      <c r="G58" s="619">
        <f t="shared" ref="G58:O58" si="19">ROUND(G23/1000,2)</f>
        <v>2.35</v>
      </c>
      <c r="H58" s="619">
        <f t="shared" si="19"/>
        <v>2.4500000000000002</v>
      </c>
      <c r="I58" s="619">
        <f t="shared" si="19"/>
        <v>2.54</v>
      </c>
      <c r="J58" s="619">
        <f t="shared" si="19"/>
        <v>2.64</v>
      </c>
      <c r="K58" s="619">
        <f t="shared" si="19"/>
        <v>2.75</v>
      </c>
      <c r="L58" s="619">
        <f t="shared" si="19"/>
        <v>2.86</v>
      </c>
      <c r="M58" s="619">
        <f t="shared" si="19"/>
        <v>2.98</v>
      </c>
      <c r="N58" s="619">
        <f t="shared" si="19"/>
        <v>3.09</v>
      </c>
      <c r="O58" s="619">
        <f t="shared" si="19"/>
        <v>3.22</v>
      </c>
      <c r="P58" s="71"/>
      <c r="Q58" s="133"/>
      <c r="R58" s="71"/>
      <c r="S58" s="159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33"/>
    </row>
    <row r="59" spans="1:32" ht="29.25" x14ac:dyDescent="0.25">
      <c r="A59" s="133"/>
      <c r="B59" s="622" t="s">
        <v>471</v>
      </c>
      <c r="C59" s="454" t="s">
        <v>327</v>
      </c>
      <c r="D59" s="619">
        <f t="shared" si="14"/>
        <v>32.099999999999994</v>
      </c>
      <c r="E59" s="71"/>
      <c r="F59" s="619">
        <f>ROUND(F27/1000,2)</f>
        <v>1</v>
      </c>
      <c r="G59" s="619">
        <f t="shared" ref="G59:O59" si="20">ROUND(G27/1000,2)</f>
        <v>1.05</v>
      </c>
      <c r="H59" s="619">
        <f t="shared" si="20"/>
        <v>3.26</v>
      </c>
      <c r="I59" s="619">
        <f t="shared" si="20"/>
        <v>3.39</v>
      </c>
      <c r="J59" s="619">
        <f t="shared" si="20"/>
        <v>3.53</v>
      </c>
      <c r="K59" s="619">
        <f t="shared" si="20"/>
        <v>3.67</v>
      </c>
      <c r="L59" s="619">
        <f t="shared" si="20"/>
        <v>3.81</v>
      </c>
      <c r="M59" s="619">
        <f t="shared" si="20"/>
        <v>3.97</v>
      </c>
      <c r="N59" s="619">
        <f t="shared" si="20"/>
        <v>4.13</v>
      </c>
      <c r="O59" s="619">
        <f t="shared" si="20"/>
        <v>4.29</v>
      </c>
      <c r="P59" s="71"/>
      <c r="Q59" s="133"/>
      <c r="R59" s="71"/>
      <c r="S59" s="159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133"/>
    </row>
    <row r="60" spans="1:32" ht="29.25" x14ac:dyDescent="0.25">
      <c r="A60" s="133"/>
      <c r="B60" s="622" t="s">
        <v>475</v>
      </c>
      <c r="C60" s="454" t="s">
        <v>327</v>
      </c>
      <c r="D60" s="619">
        <f t="shared" si="14"/>
        <v>0</v>
      </c>
      <c r="E60" s="71"/>
      <c r="F60" s="619">
        <f>ROUND(F31/1000,2)</f>
        <v>0</v>
      </c>
      <c r="G60" s="619">
        <f t="shared" ref="G60:O60" si="21">ROUND(G31/1000,2)</f>
        <v>0</v>
      </c>
      <c r="H60" s="619">
        <f t="shared" si="21"/>
        <v>0</v>
      </c>
      <c r="I60" s="619">
        <f t="shared" si="21"/>
        <v>0</v>
      </c>
      <c r="J60" s="619">
        <f t="shared" si="21"/>
        <v>0</v>
      </c>
      <c r="K60" s="619">
        <f t="shared" si="21"/>
        <v>0</v>
      </c>
      <c r="L60" s="619">
        <f t="shared" si="21"/>
        <v>0</v>
      </c>
      <c r="M60" s="619">
        <f t="shared" si="21"/>
        <v>0</v>
      </c>
      <c r="N60" s="619">
        <f t="shared" si="21"/>
        <v>0</v>
      </c>
      <c r="O60" s="619">
        <f t="shared" si="21"/>
        <v>0</v>
      </c>
      <c r="P60" s="71"/>
      <c r="Q60" s="133"/>
      <c r="R60" s="71"/>
      <c r="S60" s="159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33"/>
    </row>
    <row r="61" spans="1:32" x14ac:dyDescent="0.25">
      <c r="A61" s="133"/>
      <c r="B61" s="622" t="s">
        <v>264</v>
      </c>
      <c r="C61" s="454" t="s">
        <v>327</v>
      </c>
      <c r="D61" s="619">
        <f t="shared" si="14"/>
        <v>6.04</v>
      </c>
      <c r="E61" s="71"/>
      <c r="F61" s="619">
        <f>ROUND(F35/1000,2)</f>
        <v>0.5</v>
      </c>
      <c r="G61" s="619">
        <f t="shared" ref="G61:O61" si="22">ROUND(G35/1000,2)</f>
        <v>0.52</v>
      </c>
      <c r="H61" s="619">
        <f t="shared" si="22"/>
        <v>0.54</v>
      </c>
      <c r="I61" s="619">
        <f t="shared" si="22"/>
        <v>0.56999999999999995</v>
      </c>
      <c r="J61" s="619">
        <f t="shared" si="22"/>
        <v>0.59</v>
      </c>
      <c r="K61" s="619">
        <f t="shared" si="22"/>
        <v>0.61</v>
      </c>
      <c r="L61" s="619">
        <f t="shared" si="22"/>
        <v>0.64</v>
      </c>
      <c r="M61" s="619">
        <f t="shared" si="22"/>
        <v>0.66</v>
      </c>
      <c r="N61" s="619">
        <f t="shared" si="22"/>
        <v>0.69</v>
      </c>
      <c r="O61" s="619">
        <f t="shared" si="22"/>
        <v>0.72</v>
      </c>
      <c r="P61" s="71"/>
      <c r="Q61" s="133"/>
      <c r="R61" s="71"/>
      <c r="S61" s="159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33"/>
    </row>
    <row r="62" spans="1:32" x14ac:dyDescent="0.25">
      <c r="A62" s="133"/>
      <c r="B62" s="622" t="s">
        <v>187</v>
      </c>
      <c r="C62" s="454" t="s">
        <v>327</v>
      </c>
      <c r="D62" s="619">
        <f t="shared" si="14"/>
        <v>0</v>
      </c>
      <c r="E62" s="71"/>
      <c r="F62" s="619">
        <f>ROUND(F39/1000,2)</f>
        <v>0</v>
      </c>
      <c r="G62" s="619">
        <f t="shared" ref="G62:O62" si="23">ROUND(G39/1000,2)</f>
        <v>0</v>
      </c>
      <c r="H62" s="619">
        <f t="shared" si="23"/>
        <v>0</v>
      </c>
      <c r="I62" s="619">
        <f t="shared" si="23"/>
        <v>0</v>
      </c>
      <c r="J62" s="619">
        <f t="shared" si="23"/>
        <v>0</v>
      </c>
      <c r="K62" s="619">
        <f t="shared" si="23"/>
        <v>0</v>
      </c>
      <c r="L62" s="619">
        <f t="shared" si="23"/>
        <v>0</v>
      </c>
      <c r="M62" s="619">
        <f t="shared" si="23"/>
        <v>0</v>
      </c>
      <c r="N62" s="619">
        <f t="shared" si="23"/>
        <v>0</v>
      </c>
      <c r="O62" s="619">
        <f t="shared" si="23"/>
        <v>0</v>
      </c>
      <c r="P62" s="71"/>
      <c r="Q62" s="133"/>
      <c r="R62" s="71"/>
      <c r="S62" s="159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33"/>
    </row>
    <row r="63" spans="1:32" x14ac:dyDescent="0.25">
      <c r="A63" s="133"/>
      <c r="B63" s="182"/>
      <c r="C63" s="623"/>
      <c r="D63" s="133"/>
      <c r="E63" s="71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71"/>
      <c r="Q63" s="133"/>
      <c r="R63" s="71"/>
      <c r="S63" s="159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33"/>
    </row>
    <row r="64" spans="1:32" ht="15.75" thickBot="1" x14ac:dyDescent="0.3">
      <c r="A64" s="132"/>
      <c r="B64" s="179"/>
      <c r="C64" s="192"/>
      <c r="D64" s="132"/>
      <c r="E64" s="71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71"/>
      <c r="Q64" s="132"/>
      <c r="R64" s="71"/>
      <c r="S64" s="159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32"/>
    </row>
    <row r="66" spans="2:2" x14ac:dyDescent="0.25">
      <c r="B66" s="613"/>
    </row>
    <row r="68" spans="2:2" x14ac:dyDescent="0.25">
      <c r="B68" s="174" t="str" cm="1">
        <f t="array" aca="1" ref="B68" ca="1">HYPERLINK(CELL("адрес",БДР!$A$1),"Перейти на лист БДР")</f>
        <v>Перейти на лист БДР</v>
      </c>
    </row>
    <row r="69" spans="2:2" x14ac:dyDescent="0.25">
      <c r="B69" s="174" t="str" cm="1">
        <f t="array" aca="1" ref="B69" ca="1">HYPERLINK(CELL("адрес",БДДС!$A$1),"Перейти на лист БДДС")</f>
        <v>Перейти на лист БДДС</v>
      </c>
    </row>
    <row r="70" spans="2:2" x14ac:dyDescent="0.25">
      <c r="B70" s="174" t="str" cm="1">
        <f t="array" aca="1" ref="B70" ca="1">HYPERLINK(CELL("адрес",Баланс!$A$1),"Перейти на лист Баланс")</f>
        <v>Перейти на лист Баланс</v>
      </c>
    </row>
    <row r="71" spans="2:2" x14ac:dyDescent="0.25">
      <c r="B71" s="174" t="str" cm="1">
        <f t="array" aca="1" ref="B71" ca="1">HYPERLINK(CELL("адрес",Дашборд_ИтогТабл!$A$1),"Перейти на лист Дашборд_1")</f>
        <v>Перейти на лист Дашборд_1</v>
      </c>
    </row>
    <row r="72" spans="2:2" ht="30" x14ac:dyDescent="0.25">
      <c r="B72" s="174" t="str" cm="1">
        <f t="array" aca="1" ref="B72" ca="1">HYPERLINK(CELL("адрес",Дашборд_Основной!$A$1),"Перейти на лист Дашборд_Общий")</f>
        <v>Перейти на лист Дашборд_Общий</v>
      </c>
    </row>
    <row r="73" spans="2:2" ht="30" x14ac:dyDescent="0.25">
      <c r="B73" s="174" t="str" cm="1">
        <f t="array" aca="1" ref="B73" ca="1">HYPERLINK(CELL("адрес",Дашборд_налоги!$A$1),"Перейти на лист Дашборд_Налоги")</f>
        <v>Перейти на лист Дашборд_Налоги</v>
      </c>
    </row>
  </sheetData>
  <hyperlinks>
    <hyperlink ref="I1" location="Контроль!A1" display="Контроль!A1" xr:uid="{DFE44E4C-1888-4EEB-81CA-6F63AEEE11CB}"/>
  </hyperlinks>
  <pageMargins left="0.70866141732283472" right="0.70866141732283472" top="0.74803149606299213" bottom="0.74803149606299213" header="0.31496062992125984" footer="0.31496062992125984"/>
  <pageSetup paperSize="9" scale="63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0DDE-2F44-444F-8106-A1D67C768E49}">
  <sheetPr codeName="Лист19">
    <tabColor theme="9" tint="0.59999389629810485"/>
    <outlinePr summaryRight="0"/>
    <pageSetUpPr fitToPage="1"/>
  </sheetPr>
  <dimension ref="A1:AD32"/>
  <sheetViews>
    <sheetView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.1406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99</v>
      </c>
      <c r="B1" s="71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42.75" x14ac:dyDescent="0.25">
      <c r="A5" s="149"/>
      <c r="B5" s="451" t="s">
        <v>278</v>
      </c>
      <c r="C5" s="271" t="s">
        <v>19</v>
      </c>
      <c r="D5" s="228">
        <f>SUM(D6:D10)</f>
        <v>3000</v>
      </c>
      <c r="E5" s="71"/>
      <c r="F5" s="228">
        <f>SUM(F6:F10)</f>
        <v>300</v>
      </c>
      <c r="G5" s="228">
        <f t="shared" ref="G5:O5" si="2">SUM(G6:G10)</f>
        <v>300</v>
      </c>
      <c r="H5" s="228">
        <f t="shared" si="2"/>
        <v>300</v>
      </c>
      <c r="I5" s="228">
        <f t="shared" si="2"/>
        <v>300</v>
      </c>
      <c r="J5" s="228">
        <f t="shared" si="2"/>
        <v>300</v>
      </c>
      <c r="K5" s="228">
        <f t="shared" si="2"/>
        <v>300</v>
      </c>
      <c r="L5" s="228">
        <f t="shared" si="2"/>
        <v>300</v>
      </c>
      <c r="M5" s="228">
        <f t="shared" si="2"/>
        <v>300</v>
      </c>
      <c r="N5" s="228">
        <f t="shared" si="2"/>
        <v>300</v>
      </c>
      <c r="O5" s="228">
        <f t="shared" si="2"/>
        <v>300</v>
      </c>
      <c r="P5" s="385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x14ac:dyDescent="0.25">
      <c r="A6" s="149"/>
      <c r="B6" s="211" t="s">
        <v>269</v>
      </c>
      <c r="C6" s="271" t="s">
        <v>19</v>
      </c>
      <c r="D6" s="385">
        <f>SUM(F6:O6)</f>
        <v>2000</v>
      </c>
      <c r="E6" s="71"/>
      <c r="F6" s="143">
        <v>200</v>
      </c>
      <c r="G6" s="143">
        <v>200</v>
      </c>
      <c r="H6" s="143">
        <v>200</v>
      </c>
      <c r="I6" s="143">
        <v>200</v>
      </c>
      <c r="J6" s="143">
        <v>200</v>
      </c>
      <c r="K6" s="143">
        <v>200</v>
      </c>
      <c r="L6" s="143">
        <v>200</v>
      </c>
      <c r="M6" s="143">
        <v>200</v>
      </c>
      <c r="N6" s="143">
        <v>200</v>
      </c>
      <c r="O6" s="143">
        <v>200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149"/>
      <c r="B7" s="211" t="s">
        <v>270</v>
      </c>
      <c r="C7" s="271" t="s">
        <v>19</v>
      </c>
      <c r="D7" s="385">
        <f>SUM(F7:O7)</f>
        <v>1000</v>
      </c>
      <c r="E7" s="71"/>
      <c r="F7" s="143">
        <v>100</v>
      </c>
      <c r="G7" s="143">
        <v>100</v>
      </c>
      <c r="H7" s="143">
        <v>100</v>
      </c>
      <c r="I7" s="143">
        <v>100</v>
      </c>
      <c r="J7" s="143">
        <v>100</v>
      </c>
      <c r="K7" s="143">
        <v>100</v>
      </c>
      <c r="L7" s="143">
        <v>100</v>
      </c>
      <c r="M7" s="143">
        <v>100</v>
      </c>
      <c r="N7" s="143">
        <v>100</v>
      </c>
      <c r="O7" s="143">
        <v>100</v>
      </c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149"/>
      <c r="B8" s="211" t="s">
        <v>271</v>
      </c>
      <c r="C8" s="271" t="s">
        <v>19</v>
      </c>
      <c r="D8" s="385">
        <f>SUM(F8:O8)</f>
        <v>0</v>
      </c>
      <c r="E8" s="71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149"/>
      <c r="B9" s="211" t="s">
        <v>272</v>
      </c>
      <c r="C9" s="271" t="s">
        <v>19</v>
      </c>
      <c r="D9" s="385">
        <f>SUM(F9:O9)</f>
        <v>0</v>
      </c>
      <c r="E9" s="7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149"/>
      <c r="B10" s="211" t="s">
        <v>273</v>
      </c>
      <c r="C10" s="271" t="s">
        <v>19</v>
      </c>
      <c r="D10" s="385">
        <f>SUM(F10:O10)</f>
        <v>0</v>
      </c>
      <c r="E10" s="71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149"/>
      <c r="B11" s="211"/>
      <c r="C11" s="197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42.75" x14ac:dyDescent="0.25">
      <c r="A12" s="149"/>
      <c r="B12" s="451" t="s">
        <v>279</v>
      </c>
      <c r="C12" s="271" t="s">
        <v>19</v>
      </c>
      <c r="D12" s="228">
        <f t="shared" ref="D12:D17" si="3">SUM(F12:O12)</f>
        <v>3600</v>
      </c>
      <c r="E12" s="71"/>
      <c r="F12" s="228">
        <f>SUM(F13:F17)</f>
        <v>360</v>
      </c>
      <c r="G12" s="228">
        <f t="shared" ref="G12:O12" si="4">SUM(G13:G17)</f>
        <v>360</v>
      </c>
      <c r="H12" s="228">
        <f t="shared" si="4"/>
        <v>360</v>
      </c>
      <c r="I12" s="228">
        <f t="shared" si="4"/>
        <v>360</v>
      </c>
      <c r="J12" s="228">
        <f t="shared" si="4"/>
        <v>360</v>
      </c>
      <c r="K12" s="228">
        <f t="shared" si="4"/>
        <v>360</v>
      </c>
      <c r="L12" s="228">
        <f t="shared" si="4"/>
        <v>360</v>
      </c>
      <c r="M12" s="228">
        <f t="shared" si="4"/>
        <v>360</v>
      </c>
      <c r="N12" s="228">
        <f t="shared" si="4"/>
        <v>360</v>
      </c>
      <c r="O12" s="228">
        <f t="shared" si="4"/>
        <v>360</v>
      </c>
      <c r="P12" s="385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149"/>
      <c r="B13" s="211" t="s">
        <v>269</v>
      </c>
      <c r="C13" s="271" t="s">
        <v>19</v>
      </c>
      <c r="D13" s="385">
        <f t="shared" si="3"/>
        <v>2400</v>
      </c>
      <c r="E13" s="71"/>
      <c r="F13" s="230">
        <f>F6*(1+Макро!F31)</f>
        <v>240</v>
      </c>
      <c r="G13" s="230">
        <f>G6*(1+Макро!G31)</f>
        <v>240</v>
      </c>
      <c r="H13" s="230">
        <f>H6*(1+Макро!H31)</f>
        <v>240</v>
      </c>
      <c r="I13" s="230">
        <f>I6*(1+Макро!I31)</f>
        <v>240</v>
      </c>
      <c r="J13" s="230">
        <f>J6*(1+Макро!J31)</f>
        <v>240</v>
      </c>
      <c r="K13" s="230">
        <f>K6*(1+Макро!K31)</f>
        <v>240</v>
      </c>
      <c r="L13" s="230">
        <f>L6*(1+Макро!L31)</f>
        <v>240</v>
      </c>
      <c r="M13" s="230">
        <f>M6*(1+Макро!M31)</f>
        <v>240</v>
      </c>
      <c r="N13" s="230">
        <f>N6*(1+Макро!N31)</f>
        <v>240</v>
      </c>
      <c r="O13" s="230">
        <f>O6*(1+Макро!O31)</f>
        <v>240</v>
      </c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149"/>
      <c r="B14" s="211" t="s">
        <v>270</v>
      </c>
      <c r="C14" s="271" t="s">
        <v>19</v>
      </c>
      <c r="D14" s="385">
        <f t="shared" si="3"/>
        <v>1200</v>
      </c>
      <c r="E14" s="71"/>
      <c r="F14" s="230">
        <f>F7*(1+Макро!F31)</f>
        <v>120</v>
      </c>
      <c r="G14" s="230">
        <f>G7*(1+Макро!G31)</f>
        <v>120</v>
      </c>
      <c r="H14" s="230">
        <f>H7*(1+Макро!H31)</f>
        <v>120</v>
      </c>
      <c r="I14" s="230">
        <f>I7*(1+Макро!I31)</f>
        <v>120</v>
      </c>
      <c r="J14" s="230">
        <f>J7*(1+Макро!J31)</f>
        <v>120</v>
      </c>
      <c r="K14" s="230">
        <f>K7*(1+Макро!K31)</f>
        <v>120</v>
      </c>
      <c r="L14" s="230">
        <f>L7*(1+Макро!L31)</f>
        <v>120</v>
      </c>
      <c r="M14" s="230">
        <f>M7*(1+Макро!M31)</f>
        <v>120</v>
      </c>
      <c r="N14" s="230">
        <f>N7*(1+Макро!N31)</f>
        <v>120</v>
      </c>
      <c r="O14" s="230">
        <f>O7*(1+Макро!O31)</f>
        <v>120</v>
      </c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149"/>
      <c r="B15" s="211" t="s">
        <v>271</v>
      </c>
      <c r="C15" s="271" t="s">
        <v>19</v>
      </c>
      <c r="D15" s="385">
        <f t="shared" si="3"/>
        <v>0</v>
      </c>
      <c r="E15" s="71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149"/>
      <c r="B16" s="211" t="s">
        <v>272</v>
      </c>
      <c r="C16" s="271" t="s">
        <v>19</v>
      </c>
      <c r="D16" s="385">
        <f t="shared" si="3"/>
        <v>0</v>
      </c>
      <c r="E16" s="71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149"/>
      <c r="B17" s="211" t="s">
        <v>273</v>
      </c>
      <c r="C17" s="271" t="s">
        <v>19</v>
      </c>
      <c r="D17" s="385">
        <f t="shared" si="3"/>
        <v>0</v>
      </c>
      <c r="E17" s="71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386"/>
      <c r="Q17" s="159"/>
    </row>
    <row r="18" spans="1:17" x14ac:dyDescent="0.25">
      <c r="A18" s="149"/>
      <c r="B18" s="149"/>
      <c r="C18" s="197"/>
      <c r="D18" s="149"/>
      <c r="E18" s="71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71"/>
      <c r="Q18" s="159"/>
    </row>
    <row r="19" spans="1:17" ht="42.75" x14ac:dyDescent="0.25">
      <c r="A19" s="149"/>
      <c r="B19" s="451" t="s">
        <v>280</v>
      </c>
      <c r="C19" s="271" t="s">
        <v>19</v>
      </c>
      <c r="D19" s="228">
        <f t="shared" ref="D19:D24" si="5">SUM(F19:O19)</f>
        <v>600</v>
      </c>
      <c r="E19" s="71"/>
      <c r="F19" s="228">
        <f>SUM(F20:F24)</f>
        <v>60</v>
      </c>
      <c r="G19" s="228">
        <f t="shared" ref="G19:O19" si="6">SUM(G20:G24)</f>
        <v>60</v>
      </c>
      <c r="H19" s="228">
        <f t="shared" si="6"/>
        <v>60</v>
      </c>
      <c r="I19" s="228">
        <f t="shared" si="6"/>
        <v>60</v>
      </c>
      <c r="J19" s="228">
        <f t="shared" si="6"/>
        <v>60</v>
      </c>
      <c r="K19" s="228">
        <f t="shared" si="6"/>
        <v>60</v>
      </c>
      <c r="L19" s="228">
        <f t="shared" si="6"/>
        <v>60</v>
      </c>
      <c r="M19" s="228">
        <f t="shared" si="6"/>
        <v>60</v>
      </c>
      <c r="N19" s="228">
        <f t="shared" si="6"/>
        <v>60</v>
      </c>
      <c r="O19" s="228">
        <f t="shared" si="6"/>
        <v>60</v>
      </c>
      <c r="P19" s="385"/>
      <c r="Q19" s="159"/>
    </row>
    <row r="20" spans="1:17" x14ac:dyDescent="0.25">
      <c r="A20" s="149"/>
      <c r="B20" s="211" t="s">
        <v>269</v>
      </c>
      <c r="C20" s="271" t="s">
        <v>19</v>
      </c>
      <c r="D20" s="385">
        <f t="shared" si="5"/>
        <v>400</v>
      </c>
      <c r="E20" s="71"/>
      <c r="F20" s="230">
        <f>F6*Макро!F31</f>
        <v>40</v>
      </c>
      <c r="G20" s="230">
        <f>G6*Макро!G31</f>
        <v>40</v>
      </c>
      <c r="H20" s="230">
        <f>H6*Макро!H31</f>
        <v>40</v>
      </c>
      <c r="I20" s="230">
        <f>I6*Макро!I31</f>
        <v>40</v>
      </c>
      <c r="J20" s="230">
        <f>J6*Макро!J31</f>
        <v>40</v>
      </c>
      <c r="K20" s="230">
        <f>K6*Макро!K31</f>
        <v>40</v>
      </c>
      <c r="L20" s="230">
        <f>L6*Макро!L31</f>
        <v>40</v>
      </c>
      <c r="M20" s="230">
        <f>M6*Макро!M31</f>
        <v>40</v>
      </c>
      <c r="N20" s="230">
        <f>N6*Макро!N31</f>
        <v>40</v>
      </c>
      <c r="O20" s="230">
        <f>O6*Макро!O31</f>
        <v>40</v>
      </c>
      <c r="P20" s="386"/>
      <c r="Q20" s="159"/>
    </row>
    <row r="21" spans="1:17" x14ac:dyDescent="0.25">
      <c r="A21" s="149"/>
      <c r="B21" s="211" t="s">
        <v>270</v>
      </c>
      <c r="C21" s="271" t="s">
        <v>19</v>
      </c>
      <c r="D21" s="385">
        <f t="shared" si="5"/>
        <v>200</v>
      </c>
      <c r="E21" s="71"/>
      <c r="F21" s="230">
        <f>F7*Макро!F31</f>
        <v>20</v>
      </c>
      <c r="G21" s="230">
        <f>G7*Макро!G31</f>
        <v>20</v>
      </c>
      <c r="H21" s="230">
        <f>H7*Макро!H31</f>
        <v>20</v>
      </c>
      <c r="I21" s="230">
        <f>I7*Макро!I31</f>
        <v>20</v>
      </c>
      <c r="J21" s="230">
        <f>J7*Макро!J31</f>
        <v>20</v>
      </c>
      <c r="K21" s="230">
        <f>K7*Макро!K31</f>
        <v>20</v>
      </c>
      <c r="L21" s="230">
        <f>L7*Макро!L31</f>
        <v>20</v>
      </c>
      <c r="M21" s="230">
        <f>M7*Макро!M31</f>
        <v>20</v>
      </c>
      <c r="N21" s="230">
        <f>N7*Макро!N31</f>
        <v>20</v>
      </c>
      <c r="O21" s="230">
        <f>O7*Макро!O31</f>
        <v>20</v>
      </c>
      <c r="P21" s="386"/>
      <c r="Q21" s="159"/>
    </row>
    <row r="22" spans="1:17" x14ac:dyDescent="0.25">
      <c r="A22" s="149"/>
      <c r="B22" s="211" t="s">
        <v>271</v>
      </c>
      <c r="C22" s="271" t="s">
        <v>19</v>
      </c>
      <c r="D22" s="385">
        <f t="shared" si="5"/>
        <v>0</v>
      </c>
      <c r="E22" s="71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386"/>
      <c r="Q22" s="159"/>
    </row>
    <row r="23" spans="1:17" x14ac:dyDescent="0.25">
      <c r="A23" s="149"/>
      <c r="B23" s="211" t="s">
        <v>272</v>
      </c>
      <c r="C23" s="271" t="s">
        <v>19</v>
      </c>
      <c r="D23" s="385">
        <f t="shared" si="5"/>
        <v>0</v>
      </c>
      <c r="E23" s="71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386"/>
      <c r="Q23" s="159"/>
    </row>
    <row r="24" spans="1:17" x14ac:dyDescent="0.25">
      <c r="A24" s="149"/>
      <c r="B24" s="211" t="s">
        <v>273</v>
      </c>
      <c r="C24" s="271" t="s">
        <v>19</v>
      </c>
      <c r="D24" s="385">
        <f t="shared" si="5"/>
        <v>0</v>
      </c>
      <c r="E24" s="71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386"/>
      <c r="Q24" s="159"/>
    </row>
    <row r="25" spans="1:17" x14ac:dyDescent="0.25">
      <c r="A25" s="149"/>
      <c r="B25" s="149"/>
      <c r="C25" s="197"/>
      <c r="D25" s="149"/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  <c r="Q25" s="159"/>
    </row>
    <row r="26" spans="1:17" x14ac:dyDescent="0.25">
      <c r="A26" s="149"/>
      <c r="B26" s="149"/>
      <c r="C26" s="197"/>
      <c r="D26" s="149"/>
      <c r="E26" s="71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71"/>
      <c r="Q26" s="71"/>
    </row>
    <row r="27" spans="1:17" x14ac:dyDescent="0.25">
      <c r="A27" s="149"/>
      <c r="B27" s="174" t="str" cm="1">
        <f t="array" aca="1" ref="B27" ca="1">HYPERLINK(CELL("адрес",БДР!$A$1),"Перейти на лист БДР")</f>
        <v>Перейти на лист БДР</v>
      </c>
      <c r="C27" s="197"/>
      <c r="D27" s="149"/>
      <c r="E27" s="7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71"/>
      <c r="Q27" s="71"/>
    </row>
    <row r="28" spans="1:17" x14ac:dyDescent="0.25">
      <c r="A28" s="149"/>
      <c r="B28" s="174" t="str" cm="1">
        <f t="array" aca="1" ref="B28" ca="1">HYPERLINK(CELL("адрес",БДДС!$A$1),"Перейти на лист БДДС")</f>
        <v>Перейти на лист БДДС</v>
      </c>
      <c r="C28" s="197"/>
      <c r="D28" s="149"/>
      <c r="E28" s="71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71"/>
      <c r="Q28" s="71"/>
    </row>
    <row r="29" spans="1:17" x14ac:dyDescent="0.25">
      <c r="A29" s="149"/>
      <c r="B29" s="174" t="str" cm="1">
        <f t="array" aca="1" ref="B29" ca="1">HYPERLINK(CELL("адрес",Баланс!$A$1),"Перейти на лист Баланс")</f>
        <v>Перейти на лист Баланс</v>
      </c>
      <c r="C29" s="197"/>
      <c r="D29" s="149"/>
      <c r="E29" s="71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71"/>
      <c r="Q29" s="71"/>
    </row>
    <row r="30" spans="1:17" x14ac:dyDescent="0.25">
      <c r="A30" s="71"/>
      <c r="B30" s="174" t="str" cm="1">
        <f t="array" aca="1" ref="B30" ca="1">HYPERLINK(CELL("адрес",Дашборд_ИтогТабл!$A$1),"Перейти на лист Дашборд_1")</f>
        <v>Перейти на лист Дашборд_1</v>
      </c>
      <c r="C30" s="189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ht="30" x14ac:dyDescent="0.25">
      <c r="A31" s="71"/>
      <c r="B31" s="174" t="str" cm="1">
        <f t="array" aca="1" ref="B31" ca="1">HYPERLINK(CELL("адрес",Дашборд_Основной!$A$1),"Перейти на лист Дашборд_Общий")</f>
        <v>Перейти на лист Дашборд_Общий</v>
      </c>
      <c r="C31" s="189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7" ht="30" x14ac:dyDescent="0.25">
      <c r="A32" s="71"/>
      <c r="B32" s="174" t="str" cm="1">
        <f t="array" aca="1" ref="B32" ca="1">HYPERLINK(CELL("адрес",Дашборд_налоги!$A$1),"Перейти на лист Дашборд_Налоги")</f>
        <v>Перейти на лист Дашборд_Налоги</v>
      </c>
      <c r="C32" s="189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</sheetData>
  <hyperlinks>
    <hyperlink ref="I1" location="Контроль!A1" display="Контроль!A1" xr:uid="{787F420C-EC93-4A86-9391-6F6EE3E142A4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84E7-8680-4F53-8CA0-F844A6EE5777}">
  <sheetPr codeName="Лист20">
    <tabColor theme="9" tint="0.59999389629810485"/>
    <outlinePr summaryRight="0"/>
    <pageSetUpPr fitToPage="1"/>
  </sheetPr>
  <dimension ref="A1:AD32"/>
  <sheetViews>
    <sheetView zoomScaleNormal="100" workbookViewId="0">
      <pane xSplit="4" ySplit="4" topLeftCell="E5" activePane="bottomRight" state="frozen"/>
      <selection pane="topRight"/>
      <selection pane="bottomLeft"/>
      <selection pane="bottomRight" activeCell="AE10" sqref="AE10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.425781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1089</v>
      </c>
      <c r="B1" s="71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30.95" customHeight="1" x14ac:dyDescent="0.25">
      <c r="A5" s="149"/>
      <c r="B5" s="451" t="s">
        <v>274</v>
      </c>
      <c r="C5" s="271" t="s">
        <v>19</v>
      </c>
      <c r="D5" s="228">
        <f>SUM(D6:D10)</f>
        <v>1500</v>
      </c>
      <c r="E5" s="71"/>
      <c r="F5" s="228">
        <f>SUM(F6:F10)</f>
        <v>150</v>
      </c>
      <c r="G5" s="228">
        <f t="shared" ref="G5:O5" si="2">SUM(G6:G10)</f>
        <v>150</v>
      </c>
      <c r="H5" s="228">
        <f t="shared" si="2"/>
        <v>150</v>
      </c>
      <c r="I5" s="228">
        <f t="shared" si="2"/>
        <v>150</v>
      </c>
      <c r="J5" s="228">
        <f t="shared" si="2"/>
        <v>150</v>
      </c>
      <c r="K5" s="228">
        <f t="shared" si="2"/>
        <v>150</v>
      </c>
      <c r="L5" s="228">
        <f t="shared" si="2"/>
        <v>150</v>
      </c>
      <c r="M5" s="228">
        <f t="shared" si="2"/>
        <v>150</v>
      </c>
      <c r="N5" s="228">
        <f t="shared" si="2"/>
        <v>150</v>
      </c>
      <c r="O5" s="228">
        <f t="shared" si="2"/>
        <v>150</v>
      </c>
      <c r="P5" s="385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x14ac:dyDescent="0.25">
      <c r="A6" s="149"/>
      <c r="B6" s="211" t="s">
        <v>269</v>
      </c>
      <c r="C6" s="271" t="s">
        <v>19</v>
      </c>
      <c r="D6" s="411">
        <f>SUM(F6:O6)</f>
        <v>1000</v>
      </c>
      <c r="E6" s="71"/>
      <c r="F6" s="143">
        <v>100</v>
      </c>
      <c r="G6" s="143">
        <v>100</v>
      </c>
      <c r="H6" s="143">
        <v>100</v>
      </c>
      <c r="I6" s="143">
        <v>100</v>
      </c>
      <c r="J6" s="143">
        <v>100</v>
      </c>
      <c r="K6" s="143">
        <v>100</v>
      </c>
      <c r="L6" s="143">
        <v>100</v>
      </c>
      <c r="M6" s="143">
        <v>100</v>
      </c>
      <c r="N6" s="143">
        <v>100</v>
      </c>
      <c r="O6" s="143">
        <v>100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149"/>
      <c r="B7" s="211" t="s">
        <v>270</v>
      </c>
      <c r="C7" s="271" t="s">
        <v>19</v>
      </c>
      <c r="D7" s="411">
        <f>SUM(F7:O7)</f>
        <v>500</v>
      </c>
      <c r="E7" s="71"/>
      <c r="F7" s="143">
        <v>50</v>
      </c>
      <c r="G7" s="143">
        <v>50</v>
      </c>
      <c r="H7" s="143">
        <v>50</v>
      </c>
      <c r="I7" s="143">
        <v>50</v>
      </c>
      <c r="J7" s="143">
        <v>50</v>
      </c>
      <c r="K7" s="143">
        <v>50</v>
      </c>
      <c r="L7" s="143">
        <v>50</v>
      </c>
      <c r="M7" s="143">
        <v>50</v>
      </c>
      <c r="N7" s="143">
        <v>50</v>
      </c>
      <c r="O7" s="143">
        <v>50</v>
      </c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149"/>
      <c r="B8" s="211" t="s">
        <v>271</v>
      </c>
      <c r="C8" s="271" t="s">
        <v>19</v>
      </c>
      <c r="D8" s="411">
        <f>SUM(F8:O8)</f>
        <v>0</v>
      </c>
      <c r="E8" s="71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149"/>
      <c r="B9" s="211" t="s">
        <v>272</v>
      </c>
      <c r="C9" s="271" t="s">
        <v>19</v>
      </c>
      <c r="D9" s="411">
        <f>SUM(F9:O9)</f>
        <v>0</v>
      </c>
      <c r="E9" s="7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149"/>
      <c r="B10" s="211" t="s">
        <v>273</v>
      </c>
      <c r="C10" s="271" t="s">
        <v>19</v>
      </c>
      <c r="D10" s="411">
        <f>SUM(F10:O10)</f>
        <v>0</v>
      </c>
      <c r="E10" s="71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149"/>
      <c r="B11" s="211"/>
      <c r="C11" s="197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30.95" customHeight="1" x14ac:dyDescent="0.25">
      <c r="A12" s="149"/>
      <c r="B12" s="451" t="s">
        <v>275</v>
      </c>
      <c r="C12" s="271" t="s">
        <v>19</v>
      </c>
      <c r="D12" s="228">
        <f t="shared" ref="D12:D17" si="3">SUM(F12:O12)</f>
        <v>1800</v>
      </c>
      <c r="E12" s="71"/>
      <c r="F12" s="228">
        <f>SUM(F13:F17)</f>
        <v>180</v>
      </c>
      <c r="G12" s="228">
        <f t="shared" ref="G12:O12" si="4">SUM(G13:G17)</f>
        <v>180</v>
      </c>
      <c r="H12" s="228">
        <f t="shared" si="4"/>
        <v>180</v>
      </c>
      <c r="I12" s="228">
        <f t="shared" si="4"/>
        <v>180</v>
      </c>
      <c r="J12" s="228">
        <f t="shared" si="4"/>
        <v>180</v>
      </c>
      <c r="K12" s="228">
        <f t="shared" si="4"/>
        <v>180</v>
      </c>
      <c r="L12" s="228">
        <f t="shared" si="4"/>
        <v>180</v>
      </c>
      <c r="M12" s="228">
        <f t="shared" si="4"/>
        <v>180</v>
      </c>
      <c r="N12" s="228">
        <f t="shared" si="4"/>
        <v>180</v>
      </c>
      <c r="O12" s="228">
        <f t="shared" si="4"/>
        <v>180</v>
      </c>
      <c r="P12" s="385"/>
      <c r="Q12" s="159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71"/>
      <c r="AC12" s="71"/>
      <c r="AD12" s="71"/>
    </row>
    <row r="13" spans="1:30" x14ac:dyDescent="0.25">
      <c r="A13" s="149"/>
      <c r="B13" s="211" t="s">
        <v>269</v>
      </c>
      <c r="C13" s="271" t="s">
        <v>19</v>
      </c>
      <c r="D13" s="411">
        <f t="shared" si="3"/>
        <v>1200</v>
      </c>
      <c r="E13" s="71"/>
      <c r="F13" s="143">
        <f>F6*(1+Макро!F31)</f>
        <v>120</v>
      </c>
      <c r="G13" s="143">
        <f>G6*(1+Макро!G31)</f>
        <v>120</v>
      </c>
      <c r="H13" s="143">
        <f>H6*(1+Макро!H31)</f>
        <v>120</v>
      </c>
      <c r="I13" s="143">
        <f>I6*(1+Макро!I31)</f>
        <v>120</v>
      </c>
      <c r="J13" s="143">
        <f>J6*(1+Макро!J31)</f>
        <v>120</v>
      </c>
      <c r="K13" s="143">
        <f>K6*(1+Макро!K31)</f>
        <v>120</v>
      </c>
      <c r="L13" s="143">
        <f>L6*(1+Макро!L31)</f>
        <v>120</v>
      </c>
      <c r="M13" s="143">
        <f>M6*(1+Макро!M31)</f>
        <v>120</v>
      </c>
      <c r="N13" s="143">
        <f>N6*(1+Макро!N31)</f>
        <v>120</v>
      </c>
      <c r="O13" s="143">
        <f>O6*(1+Макро!O31)</f>
        <v>120</v>
      </c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149"/>
      <c r="B14" s="211" t="s">
        <v>270</v>
      </c>
      <c r="C14" s="271" t="s">
        <v>19</v>
      </c>
      <c r="D14" s="411">
        <f t="shared" si="3"/>
        <v>600</v>
      </c>
      <c r="E14" s="71"/>
      <c r="F14" s="143">
        <f>F7*(1+Макро!F31)</f>
        <v>60</v>
      </c>
      <c r="G14" s="143">
        <f>G7*(1+Макро!G31)</f>
        <v>60</v>
      </c>
      <c r="H14" s="143">
        <f>H7*(1+Макро!H31)</f>
        <v>60</v>
      </c>
      <c r="I14" s="143">
        <f>I7*(1+Макро!I31)</f>
        <v>60</v>
      </c>
      <c r="J14" s="143">
        <f>J7*(1+Макро!J31)</f>
        <v>60</v>
      </c>
      <c r="K14" s="143">
        <f>K7*(1+Макро!K31)</f>
        <v>60</v>
      </c>
      <c r="L14" s="143">
        <f>L7*(1+Макро!L31)</f>
        <v>60</v>
      </c>
      <c r="M14" s="143">
        <f>M7*(1+Макро!M31)</f>
        <v>60</v>
      </c>
      <c r="N14" s="143">
        <f>N7*(1+Макро!N31)</f>
        <v>60</v>
      </c>
      <c r="O14" s="143">
        <f>O7*(1+Макро!O31)</f>
        <v>60</v>
      </c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149"/>
      <c r="B15" s="211" t="s">
        <v>271</v>
      </c>
      <c r="C15" s="271" t="s">
        <v>19</v>
      </c>
      <c r="D15" s="411">
        <f t="shared" si="3"/>
        <v>0</v>
      </c>
      <c r="E15" s="71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149"/>
      <c r="B16" s="211" t="s">
        <v>272</v>
      </c>
      <c r="C16" s="271" t="s">
        <v>19</v>
      </c>
      <c r="D16" s="411">
        <f t="shared" si="3"/>
        <v>0</v>
      </c>
      <c r="E16" s="71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149"/>
      <c r="B17" s="211" t="s">
        <v>273</v>
      </c>
      <c r="C17" s="271" t="s">
        <v>19</v>
      </c>
      <c r="D17" s="411">
        <f t="shared" si="3"/>
        <v>0</v>
      </c>
      <c r="E17" s="71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386"/>
      <c r="Q17" s="159"/>
    </row>
    <row r="18" spans="1:17" x14ac:dyDescent="0.25">
      <c r="A18" s="149"/>
      <c r="B18" s="149"/>
      <c r="C18" s="197"/>
      <c r="D18" s="149"/>
      <c r="E18" s="71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71"/>
      <c r="Q18" s="159"/>
    </row>
    <row r="19" spans="1:17" ht="28.5" x14ac:dyDescent="0.25">
      <c r="A19" s="149"/>
      <c r="B19" s="451" t="s">
        <v>277</v>
      </c>
      <c r="C19" s="271" t="s">
        <v>19</v>
      </c>
      <c r="D19" s="228">
        <f t="shared" ref="D19:D24" si="5">SUM(F19:O19)</f>
        <v>300</v>
      </c>
      <c r="E19" s="71"/>
      <c r="F19" s="228">
        <f t="shared" ref="F19:O19" si="6">SUM(F20:F24)</f>
        <v>30</v>
      </c>
      <c r="G19" s="228">
        <f t="shared" si="6"/>
        <v>30</v>
      </c>
      <c r="H19" s="228">
        <f t="shared" si="6"/>
        <v>30</v>
      </c>
      <c r="I19" s="228">
        <f t="shared" si="6"/>
        <v>30</v>
      </c>
      <c r="J19" s="228">
        <f t="shared" si="6"/>
        <v>30</v>
      </c>
      <c r="K19" s="228">
        <f t="shared" si="6"/>
        <v>30</v>
      </c>
      <c r="L19" s="228">
        <f t="shared" si="6"/>
        <v>30</v>
      </c>
      <c r="M19" s="228">
        <f t="shared" si="6"/>
        <v>30</v>
      </c>
      <c r="N19" s="228">
        <f t="shared" si="6"/>
        <v>30</v>
      </c>
      <c r="O19" s="228">
        <f t="shared" si="6"/>
        <v>30</v>
      </c>
      <c r="P19" s="385"/>
      <c r="Q19" s="159"/>
    </row>
    <row r="20" spans="1:17" x14ac:dyDescent="0.25">
      <c r="A20" s="149"/>
      <c r="B20" s="211" t="s">
        <v>269</v>
      </c>
      <c r="C20" s="271" t="s">
        <v>19</v>
      </c>
      <c r="D20" s="411">
        <f t="shared" si="5"/>
        <v>200</v>
      </c>
      <c r="E20" s="71"/>
      <c r="F20" s="230">
        <f>F6*Макро!F31</f>
        <v>20</v>
      </c>
      <c r="G20" s="230">
        <f>G6*Макро!G31</f>
        <v>20</v>
      </c>
      <c r="H20" s="230">
        <f>H6*Макро!H31</f>
        <v>20</v>
      </c>
      <c r="I20" s="230">
        <f>I6*Макро!I31</f>
        <v>20</v>
      </c>
      <c r="J20" s="230">
        <f>J6*Макро!J31</f>
        <v>20</v>
      </c>
      <c r="K20" s="230">
        <f>K6*Макро!K31</f>
        <v>20</v>
      </c>
      <c r="L20" s="230">
        <f>L6*Макро!L31</f>
        <v>20</v>
      </c>
      <c r="M20" s="230">
        <f>M6*Макро!M31</f>
        <v>20</v>
      </c>
      <c r="N20" s="230">
        <f>N6*Макро!N31</f>
        <v>20</v>
      </c>
      <c r="O20" s="230">
        <f>O6*Макро!O31</f>
        <v>20</v>
      </c>
      <c r="P20" s="386"/>
      <c r="Q20" s="159"/>
    </row>
    <row r="21" spans="1:17" x14ac:dyDescent="0.25">
      <c r="A21" s="149"/>
      <c r="B21" s="211" t="s">
        <v>276</v>
      </c>
      <c r="C21" s="271" t="s">
        <v>19</v>
      </c>
      <c r="D21" s="411">
        <f t="shared" si="5"/>
        <v>100</v>
      </c>
      <c r="E21" s="71"/>
      <c r="F21" s="230">
        <f>F7*Макро!F31</f>
        <v>10</v>
      </c>
      <c r="G21" s="230">
        <f>G7*Макро!G31</f>
        <v>10</v>
      </c>
      <c r="H21" s="230">
        <f>H7*Макро!H31</f>
        <v>10</v>
      </c>
      <c r="I21" s="230">
        <f>I7*Макро!I31</f>
        <v>10</v>
      </c>
      <c r="J21" s="230">
        <f>J7*Макро!J31</f>
        <v>10</v>
      </c>
      <c r="K21" s="230">
        <f>K7*Макро!K31</f>
        <v>10</v>
      </c>
      <c r="L21" s="230">
        <f>L7*Макро!L31</f>
        <v>10</v>
      </c>
      <c r="M21" s="230">
        <f>M7*Макро!M31</f>
        <v>10</v>
      </c>
      <c r="N21" s="230">
        <f>N7*Макро!N31</f>
        <v>10</v>
      </c>
      <c r="O21" s="230">
        <f>O7*Макро!O31</f>
        <v>10</v>
      </c>
      <c r="P21" s="386"/>
      <c r="Q21" s="159"/>
    </row>
    <row r="22" spans="1:17" x14ac:dyDescent="0.25">
      <c r="A22" s="149"/>
      <c r="B22" s="211" t="s">
        <v>271</v>
      </c>
      <c r="C22" s="271" t="s">
        <v>19</v>
      </c>
      <c r="D22" s="411">
        <f t="shared" si="5"/>
        <v>0</v>
      </c>
      <c r="E22" s="71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386"/>
      <c r="Q22" s="159"/>
    </row>
    <row r="23" spans="1:17" x14ac:dyDescent="0.25">
      <c r="A23" s="149"/>
      <c r="B23" s="211" t="s">
        <v>272</v>
      </c>
      <c r="C23" s="271" t="s">
        <v>19</v>
      </c>
      <c r="D23" s="411">
        <f t="shared" si="5"/>
        <v>0</v>
      </c>
      <c r="E23" s="71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386"/>
      <c r="Q23" s="159"/>
    </row>
    <row r="24" spans="1:17" x14ac:dyDescent="0.25">
      <c r="A24" s="149"/>
      <c r="B24" s="211" t="s">
        <v>273</v>
      </c>
      <c r="C24" s="271" t="s">
        <v>19</v>
      </c>
      <c r="D24" s="411">
        <f t="shared" si="5"/>
        <v>0</v>
      </c>
      <c r="E24" s="71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386"/>
      <c r="Q24" s="159"/>
    </row>
    <row r="25" spans="1:17" x14ac:dyDescent="0.25">
      <c r="A25" s="149"/>
      <c r="B25" s="149"/>
      <c r="C25" s="197"/>
      <c r="D25" s="149"/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  <c r="Q25" s="71"/>
    </row>
    <row r="26" spans="1:17" x14ac:dyDescent="0.25">
      <c r="A26" s="149"/>
      <c r="B26" s="149"/>
      <c r="C26" s="197"/>
      <c r="D26" s="149"/>
      <c r="E26" s="71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71"/>
      <c r="Q26" s="71"/>
    </row>
    <row r="27" spans="1:17" x14ac:dyDescent="0.25">
      <c r="A27" s="149"/>
      <c r="B27" s="174" t="str" cm="1">
        <f t="array" aca="1" ref="B27" ca="1">HYPERLINK(CELL("адрес",БДР!$A$1),"Перейти на лист БДР")</f>
        <v>Перейти на лист БДР</v>
      </c>
      <c r="C27" s="197"/>
      <c r="D27" s="149"/>
      <c r="E27" s="7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71"/>
      <c r="Q27" s="71"/>
    </row>
    <row r="28" spans="1:17" x14ac:dyDescent="0.25">
      <c r="A28" s="149"/>
      <c r="B28" s="174" t="str" cm="1">
        <f t="array" aca="1" ref="B28" ca="1">HYPERLINK(CELL("адрес",БДДС!$A$1),"Перейти на лист БДДС")</f>
        <v>Перейти на лист БДДС</v>
      </c>
      <c r="C28" s="197"/>
      <c r="D28" s="149"/>
      <c r="E28" s="71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71"/>
      <c r="Q28" s="71"/>
    </row>
    <row r="29" spans="1:17" x14ac:dyDescent="0.25">
      <c r="A29" s="149"/>
      <c r="B29" s="174" t="str" cm="1">
        <f t="array" aca="1" ref="B29" ca="1">HYPERLINK(CELL("адрес",Баланс!$A$1),"Перейти на лист Баланс")</f>
        <v>Перейти на лист Баланс</v>
      </c>
      <c r="C29" s="197"/>
      <c r="D29" s="149"/>
      <c r="E29" s="71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71"/>
      <c r="Q29" s="71"/>
    </row>
    <row r="30" spans="1:17" x14ac:dyDescent="0.25">
      <c r="A30" s="149"/>
      <c r="B30" s="174" t="str" cm="1">
        <f t="array" aca="1" ref="B30" ca="1">HYPERLINK(CELL("адрес",Дашборд_ИтогТабл!$A$1),"Перейти на лист Дашборд_1")</f>
        <v>Перейти на лист Дашборд_1</v>
      </c>
      <c r="C30" s="197"/>
      <c r="D30" s="149"/>
      <c r="E30" s="71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71"/>
      <c r="Q30" s="71"/>
    </row>
    <row r="31" spans="1:17" ht="30" x14ac:dyDescent="0.25">
      <c r="A31" s="149"/>
      <c r="B31" s="174" t="str" cm="1">
        <f t="array" aca="1" ref="B31" ca="1">HYPERLINK(CELL("адрес",Дашборд_Основной!$A$1),"Перейти на лист Дашборд_Общий")</f>
        <v>Перейти на лист Дашборд_Общий</v>
      </c>
      <c r="C31" s="197"/>
      <c r="D31" s="149"/>
      <c r="E31" s="71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71"/>
      <c r="Q31" s="71"/>
    </row>
    <row r="32" spans="1:17" ht="30" x14ac:dyDescent="0.25">
      <c r="A32" s="71"/>
      <c r="B32" s="174" t="str" cm="1">
        <f t="array" aca="1" ref="B32" ca="1">HYPERLINK(CELL("адрес",Дашборд_налоги!$A$1),"Перейти на лист Дашборд_Налоги")</f>
        <v>Перейти на лист Дашборд_Налоги</v>
      </c>
      <c r="C32" s="189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</sheetData>
  <phoneticPr fontId="18" type="noConversion"/>
  <hyperlinks>
    <hyperlink ref="I1" location="Контроль!A1" display="Контроль!A1" xr:uid="{1383444E-E237-400A-BEA1-D5EFEF7D487C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DE2E-8C47-499E-A4F9-4DF1475DA357}">
  <sheetPr codeName="Лист21">
    <tabColor theme="9" tint="0.59999389629810485"/>
    <outlinePr summaryRight="0"/>
    <pageSetUpPr fitToPage="1"/>
  </sheetPr>
  <dimension ref="A1:AD18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91</v>
      </c>
      <c r="B1" s="71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30.95" customHeight="1" x14ac:dyDescent="0.25">
      <c r="A5" s="149"/>
      <c r="B5" s="451" t="s">
        <v>290</v>
      </c>
      <c r="C5" s="271" t="s">
        <v>19</v>
      </c>
      <c r="D5" s="228">
        <f>SUM(D6:D10)</f>
        <v>560</v>
      </c>
      <c r="E5" s="71"/>
      <c r="F5" s="228">
        <f>SUM(F6:F10)</f>
        <v>0</v>
      </c>
      <c r="G5" s="228">
        <f t="shared" ref="G5:O5" si="2">SUM(G6:G10)</f>
        <v>0</v>
      </c>
      <c r="H5" s="228">
        <f t="shared" si="2"/>
        <v>70</v>
      </c>
      <c r="I5" s="228">
        <f t="shared" si="2"/>
        <v>70</v>
      </c>
      <c r="J5" s="228">
        <f t="shared" si="2"/>
        <v>70</v>
      </c>
      <c r="K5" s="228">
        <f t="shared" si="2"/>
        <v>70</v>
      </c>
      <c r="L5" s="228">
        <f t="shared" si="2"/>
        <v>70</v>
      </c>
      <c r="M5" s="228">
        <f t="shared" si="2"/>
        <v>70</v>
      </c>
      <c r="N5" s="228">
        <f t="shared" si="2"/>
        <v>70</v>
      </c>
      <c r="O5" s="228">
        <f t="shared" si="2"/>
        <v>70</v>
      </c>
      <c r="P5" s="385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x14ac:dyDescent="0.25">
      <c r="A6" s="149"/>
      <c r="B6" s="211" t="s">
        <v>269</v>
      </c>
      <c r="C6" s="271" t="s">
        <v>19</v>
      </c>
      <c r="D6" s="411">
        <f>SUM(F6:O6)</f>
        <v>560</v>
      </c>
      <c r="E6" s="71"/>
      <c r="F6" s="143"/>
      <c r="G6" s="143"/>
      <c r="H6" s="143">
        <v>70</v>
      </c>
      <c r="I6" s="143">
        <v>70</v>
      </c>
      <c r="J6" s="143">
        <v>70</v>
      </c>
      <c r="K6" s="143">
        <v>70</v>
      </c>
      <c r="L6" s="143">
        <v>70</v>
      </c>
      <c r="M6" s="143">
        <v>70</v>
      </c>
      <c r="N6" s="143">
        <v>70</v>
      </c>
      <c r="O6" s="143">
        <v>70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149"/>
      <c r="B7" s="211" t="s">
        <v>270</v>
      </c>
      <c r="C7" s="271" t="s">
        <v>19</v>
      </c>
      <c r="D7" s="411">
        <f>SUM(F7:O7)</f>
        <v>0</v>
      </c>
      <c r="E7" s="71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149"/>
      <c r="B8" s="211" t="s">
        <v>271</v>
      </c>
      <c r="C8" s="271" t="s">
        <v>19</v>
      </c>
      <c r="D8" s="411">
        <f>SUM(F8:O8)</f>
        <v>0</v>
      </c>
      <c r="E8" s="71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149"/>
      <c r="B9" s="211" t="s">
        <v>272</v>
      </c>
      <c r="C9" s="271" t="s">
        <v>19</v>
      </c>
      <c r="D9" s="411">
        <f>SUM(F9:O9)</f>
        <v>0</v>
      </c>
      <c r="E9" s="7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149"/>
      <c r="B10" s="211" t="s">
        <v>273</v>
      </c>
      <c r="C10" s="271" t="s">
        <v>19</v>
      </c>
      <c r="D10" s="411">
        <f>SUM(F10:O10)</f>
        <v>0</v>
      </c>
      <c r="E10" s="71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149"/>
      <c r="B11" s="211"/>
      <c r="C11" s="197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149"/>
      <c r="B12" s="149"/>
      <c r="C12" s="197"/>
      <c r="D12" s="149"/>
      <c r="E12" s="71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71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149"/>
      <c r="B13" s="174" t="str" cm="1">
        <f t="array" aca="1" ref="B13" ca="1">HYPERLINK(CELL("адрес",БДР!$A$1),"Перейти на лист БДР")</f>
        <v>Перейти на лист БДР</v>
      </c>
      <c r="C13" s="197"/>
      <c r="D13" s="149"/>
      <c r="E13" s="71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149"/>
      <c r="B14" s="174" t="str" cm="1">
        <f t="array" aca="1" ref="B14" ca="1">HYPERLINK(CELL("адрес",БДДС!$A$1),"Перейти на лист БДДС")</f>
        <v>Перейти на лист БДДС</v>
      </c>
      <c r="C14" s="197"/>
      <c r="D14" s="149"/>
      <c r="E14" s="71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149"/>
      <c r="B15" s="174" t="str" cm="1">
        <f t="array" aca="1" ref="B15" ca="1">HYPERLINK(CELL("адрес",Баланс!$A$1),"Перейти на лист Баланс")</f>
        <v>Перейти на лист Баланс</v>
      </c>
      <c r="C15" s="197"/>
      <c r="D15" s="149"/>
      <c r="E15" s="71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149"/>
      <c r="B16" s="174" t="str" cm="1">
        <f t="array" aca="1" ref="B16" ca="1">HYPERLINK(CELL("адрес",Дашборд_ИтогТабл!$A$1),"Перейти на лист Дашборд_1")</f>
        <v>Перейти на лист Дашборд_1</v>
      </c>
      <c r="C16" s="197"/>
      <c r="D16" s="149"/>
      <c r="E16" s="71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30" x14ac:dyDescent="0.25">
      <c r="A17" s="149"/>
      <c r="B17" s="174" t="str" cm="1">
        <f t="array" aca="1" ref="B17" ca="1">HYPERLINK(CELL("адрес",Дашборд_Основной!$A$1),"Перейти на лист Дашборд_Общий")</f>
        <v>Перейти на лист Дашборд_Общий</v>
      </c>
      <c r="C17" s="197"/>
      <c r="D17" s="149"/>
      <c r="E17" s="71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71"/>
      <c r="Q17" s="71"/>
    </row>
    <row r="18" spans="1:17" ht="30" x14ac:dyDescent="0.25">
      <c r="A18" s="71"/>
      <c r="B18" s="174" t="str" cm="1">
        <f t="array" aca="1" ref="B18" ca="1">HYPERLINK(CELL("адрес",Дашборд_налоги!$A$1),"Перейти на лист Дашборд_Налоги")</f>
        <v>Перейти на лист Дашборд_Налоги</v>
      </c>
      <c r="C18" s="189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</sheetData>
  <hyperlinks>
    <hyperlink ref="I1" location="Контроль!A1" display="Контроль!A1" xr:uid="{6035F423-554E-4253-B8C4-178FD7016EFF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91EF2-1289-4764-AC80-69EF29E8AC97}">
  <sheetPr codeName="Лист22">
    <tabColor theme="9" tint="0.59999389629810485"/>
    <outlinePr summaryRight="0"/>
    <pageSetUpPr fitToPage="1"/>
  </sheetPr>
  <dimension ref="A1:AD18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B1" sqref="B1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92</v>
      </c>
      <c r="B1" s="71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30.95" customHeight="1" x14ac:dyDescent="0.25">
      <c r="A5" s="149"/>
      <c r="B5" s="451" t="s">
        <v>291</v>
      </c>
      <c r="C5" s="271" t="s">
        <v>19</v>
      </c>
      <c r="D5" s="228">
        <f>SUM(D6:D10)</f>
        <v>200</v>
      </c>
      <c r="E5" s="71"/>
      <c r="F5" s="228">
        <f>SUM(F6:F10)</f>
        <v>20</v>
      </c>
      <c r="G5" s="228">
        <f t="shared" ref="G5:O5" si="2">SUM(G6:G10)</f>
        <v>20</v>
      </c>
      <c r="H5" s="228">
        <f t="shared" si="2"/>
        <v>20</v>
      </c>
      <c r="I5" s="228">
        <f t="shared" si="2"/>
        <v>20</v>
      </c>
      <c r="J5" s="228">
        <f t="shared" si="2"/>
        <v>20</v>
      </c>
      <c r="K5" s="228">
        <f t="shared" si="2"/>
        <v>20</v>
      </c>
      <c r="L5" s="228">
        <f t="shared" si="2"/>
        <v>20</v>
      </c>
      <c r="M5" s="228">
        <f t="shared" si="2"/>
        <v>20</v>
      </c>
      <c r="N5" s="228">
        <f t="shared" si="2"/>
        <v>20</v>
      </c>
      <c r="O5" s="228">
        <f t="shared" si="2"/>
        <v>20</v>
      </c>
      <c r="P5" s="385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x14ac:dyDescent="0.25">
      <c r="A6" s="149"/>
      <c r="B6" s="211" t="s">
        <v>269</v>
      </c>
      <c r="C6" s="271" t="s">
        <v>19</v>
      </c>
      <c r="D6" s="411">
        <f>SUM(F6:O6)</f>
        <v>200</v>
      </c>
      <c r="E6" s="71"/>
      <c r="F6" s="143">
        <v>20</v>
      </c>
      <c r="G6" s="143">
        <v>20</v>
      </c>
      <c r="H6" s="143">
        <v>20</v>
      </c>
      <c r="I6" s="143">
        <v>20</v>
      </c>
      <c r="J6" s="143">
        <v>20</v>
      </c>
      <c r="K6" s="143">
        <v>20</v>
      </c>
      <c r="L6" s="143">
        <v>20</v>
      </c>
      <c r="M6" s="143">
        <v>20</v>
      </c>
      <c r="N6" s="143">
        <v>20</v>
      </c>
      <c r="O6" s="143">
        <v>20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149"/>
      <c r="B7" s="211" t="s">
        <v>270</v>
      </c>
      <c r="C7" s="271" t="s">
        <v>19</v>
      </c>
      <c r="D7" s="411">
        <f>SUM(F7:O7)</f>
        <v>0</v>
      </c>
      <c r="E7" s="71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149"/>
      <c r="B8" s="211" t="s">
        <v>271</v>
      </c>
      <c r="C8" s="271" t="s">
        <v>19</v>
      </c>
      <c r="D8" s="411">
        <f>SUM(F8:O8)</f>
        <v>0</v>
      </c>
      <c r="E8" s="71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149"/>
      <c r="B9" s="211" t="s">
        <v>272</v>
      </c>
      <c r="C9" s="271" t="s">
        <v>19</v>
      </c>
      <c r="D9" s="411">
        <f>SUM(F9:O9)</f>
        <v>0</v>
      </c>
      <c r="E9" s="71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149"/>
      <c r="B10" s="211" t="s">
        <v>273</v>
      </c>
      <c r="C10" s="271" t="s">
        <v>19</v>
      </c>
      <c r="D10" s="411">
        <f>SUM(F10:O10)</f>
        <v>0</v>
      </c>
      <c r="E10" s="71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149"/>
      <c r="B11" s="211"/>
      <c r="C11" s="197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149"/>
      <c r="B12" s="149"/>
      <c r="C12" s="197"/>
      <c r="D12" s="149"/>
      <c r="E12" s="71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71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149"/>
      <c r="B13" s="174" t="str" cm="1">
        <f t="array" aca="1" ref="B13" ca="1">HYPERLINK(CELL("адрес",БДР!$A$1),"Перейти на лист БДР")</f>
        <v>Перейти на лист БДР</v>
      </c>
      <c r="C13" s="197"/>
      <c r="D13" s="149"/>
      <c r="E13" s="71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149"/>
      <c r="B14" s="174" t="str" cm="1">
        <f t="array" aca="1" ref="B14" ca="1">HYPERLINK(CELL("адрес",БДДС!$A$1),"Перейти на лист БДДС")</f>
        <v>Перейти на лист БДДС</v>
      </c>
      <c r="C14" s="197"/>
      <c r="D14" s="149"/>
      <c r="E14" s="71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149"/>
      <c r="B15" s="174" t="str" cm="1">
        <f t="array" aca="1" ref="B15" ca="1">HYPERLINK(CELL("адрес",Баланс!$A$1),"Перейти на лист Баланс")</f>
        <v>Перейти на лист Баланс</v>
      </c>
      <c r="C15" s="197"/>
      <c r="D15" s="149"/>
      <c r="E15" s="71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149"/>
      <c r="B16" s="452" t="str" cm="1">
        <f t="array" aca="1" ref="B16" ca="1">HYPERLINK(CELL("адрес",Дашборд_ИтогТабл!$A$1),"Перейти на лист Дашборд_1")</f>
        <v>Перейти на лист Дашборд_1</v>
      </c>
      <c r="C16" s="197"/>
      <c r="D16" s="149"/>
      <c r="E16" s="71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149"/>
      <c r="B17" s="452" t="str" cm="1">
        <f t="array" aca="1" ref="B17" ca="1">HYPERLINK(CELL("адрес",Дашборд_Основной!$A$1),"Перейти на лист Дашборд_Общий")</f>
        <v>Перейти на лист Дашборд_Общий</v>
      </c>
      <c r="C17" s="197"/>
      <c r="D17" s="149"/>
      <c r="E17" s="71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71"/>
      <c r="Q17" s="71"/>
    </row>
    <row r="18" spans="1:17" x14ac:dyDescent="0.25">
      <c r="A18" s="71"/>
      <c r="B18" s="452" t="str" cm="1">
        <f t="array" aca="1" ref="B18" ca="1">HYPERLINK(CELL("адрес",Дашборд_налоги!$A$1),"Перейти на лист Дашборд_Налоги")</f>
        <v>Перейти на лист Дашборд_Налоги</v>
      </c>
      <c r="C18" s="189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</sheetData>
  <hyperlinks>
    <hyperlink ref="I1" location="Контроль!A1" display="Контроль!A1" xr:uid="{C3301D71-0AF2-4CA9-924C-DA8B6F87612B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B753-BA14-46C1-9432-EF9CFDFFC3EA}">
  <sheetPr codeName="Лист23">
    <tabColor theme="9" tint="0.59999389629810485"/>
    <outlinePr summaryRight="0"/>
    <pageSetUpPr fitToPage="1"/>
  </sheetPr>
  <dimension ref="A1:AD30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 activeCell="B1" sqref="B1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5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0" t="s">
        <v>282</v>
      </c>
      <c r="B1" s="71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ht="28.5" x14ac:dyDescent="0.25">
      <c r="A5" s="626"/>
      <c r="B5" s="451" t="s">
        <v>71</v>
      </c>
      <c r="C5" s="627"/>
      <c r="D5" s="237"/>
      <c r="E5" s="71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71"/>
      <c r="Q5" s="159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60" x14ac:dyDescent="0.25">
      <c r="A6" s="226" t="str" cm="1">
        <f t="array" aca="1" ref="A6" ca="1">HYPERLINK(CELL("адрес",Инвестиции!A8),"источник")</f>
        <v>источник</v>
      </c>
      <c r="B6" s="211" t="s">
        <v>283</v>
      </c>
      <c r="C6" s="453" t="s">
        <v>19</v>
      </c>
      <c r="D6" s="411">
        <f>SUM(F6:O6)</f>
        <v>15000.000000000002</v>
      </c>
      <c r="E6" s="71"/>
      <c r="F6" s="230">
        <f>Инвестиции!F8</f>
        <v>3666.6666666666674</v>
      </c>
      <c r="G6" s="230">
        <f>Инвестиции!G8</f>
        <v>11333.333333333334</v>
      </c>
      <c r="H6" s="230">
        <f>Инвестиции!H8</f>
        <v>0</v>
      </c>
      <c r="I6" s="230">
        <f>Инвестиции!I8</f>
        <v>0</v>
      </c>
      <c r="J6" s="230">
        <f>Инвестиции!J8</f>
        <v>0</v>
      </c>
      <c r="K6" s="230">
        <f>Инвестиции!K8</f>
        <v>0</v>
      </c>
      <c r="L6" s="230">
        <f>Инвестиции!L8</f>
        <v>0</v>
      </c>
      <c r="M6" s="230">
        <f>Инвестиции!M8</f>
        <v>0</v>
      </c>
      <c r="N6" s="230">
        <f>Инвестиции!N8</f>
        <v>0</v>
      </c>
      <c r="O6" s="230">
        <f>Инвестиции!O8</f>
        <v>0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242"/>
      <c r="B7" s="211"/>
      <c r="C7" s="197"/>
      <c r="D7" s="149"/>
      <c r="E7" s="71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71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242"/>
      <c r="B8" s="211"/>
      <c r="C8" s="197"/>
      <c r="D8" s="149"/>
      <c r="E8" s="71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71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28.5" x14ac:dyDescent="0.25">
      <c r="A9" s="626"/>
      <c r="B9" s="451" t="s">
        <v>69</v>
      </c>
      <c r="C9" s="627"/>
      <c r="D9" s="237"/>
      <c r="E9" s="71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71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242"/>
      <c r="B10" s="211"/>
      <c r="C10" s="197"/>
      <c r="D10" s="149"/>
      <c r="E10" s="71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226" t="str" cm="1">
        <f t="array" aca="1" ref="A11" ca="1">HYPERLINK(CELL("адрес",Выручка!A9),"источник")</f>
        <v>источник</v>
      </c>
      <c r="B11" s="211" t="s">
        <v>284</v>
      </c>
      <c r="C11" s="453" t="s">
        <v>19</v>
      </c>
      <c r="D11" s="411">
        <f>SUM(F11:O11)</f>
        <v>185954.70984486095</v>
      </c>
      <c r="E11" s="71"/>
      <c r="F11" s="230">
        <f>Выручка!F9</f>
        <v>0</v>
      </c>
      <c r="G11" s="230">
        <f>Выручка!G9</f>
        <v>0</v>
      </c>
      <c r="H11" s="230">
        <f>Выручка!H9</f>
        <v>7706</v>
      </c>
      <c r="I11" s="230">
        <f>Выручка!I9</f>
        <v>22568</v>
      </c>
      <c r="J11" s="230">
        <f>Выручка!J9</f>
        <v>23470.720000000005</v>
      </c>
      <c r="K11" s="230">
        <f>Выручка!K9</f>
        <v>24409.548800000004</v>
      </c>
      <c r="L11" s="230">
        <f>Выручка!L9</f>
        <v>25385.930752</v>
      </c>
      <c r="M11" s="230">
        <f>Выручка!M9</f>
        <v>26401.367982080003</v>
      </c>
      <c r="N11" s="230">
        <f>Выручка!N9</f>
        <v>27457.422701363204</v>
      </c>
      <c r="O11" s="230">
        <f>Выручка!O9</f>
        <v>28555.719609417734</v>
      </c>
      <c r="P11" s="386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226" t="str" cm="1">
        <f t="array" aca="1" ref="A12" ca="1">HYPERLINK(CELL("адрес",Себестоимость!A8),"источник")</f>
        <v>источник</v>
      </c>
      <c r="B12" s="211" t="s">
        <v>287</v>
      </c>
      <c r="C12" s="453" t="s">
        <v>19</v>
      </c>
      <c r="D12" s="411">
        <f>SUM(F12:O12)</f>
        <v>-8165.657209726568</v>
      </c>
      <c r="E12" s="71"/>
      <c r="F12" s="230">
        <f>-Себестоимость!F8</f>
        <v>0</v>
      </c>
      <c r="G12" s="230">
        <f>-Себестоимость!G8</f>
        <v>0</v>
      </c>
      <c r="H12" s="230">
        <f>-Себестоимость!H8</f>
        <v>-280</v>
      </c>
      <c r="I12" s="230">
        <f>-Себестоимость!I8</f>
        <v>-998.4000000000002</v>
      </c>
      <c r="J12" s="230">
        <f>-Себестоимость!J8</f>
        <v>-1038.3360000000002</v>
      </c>
      <c r="K12" s="230">
        <f>-Себестоимость!K8</f>
        <v>-1079.8694400000004</v>
      </c>
      <c r="L12" s="230">
        <f>-Себестоимость!L8</f>
        <v>-1123.0642176000003</v>
      </c>
      <c r="M12" s="230">
        <f>-Себестоимость!M8</f>
        <v>-1167.9867863040004</v>
      </c>
      <c r="N12" s="230">
        <f>-Себестоимость!N8</f>
        <v>-1214.7062577561603</v>
      </c>
      <c r="O12" s="230">
        <f>-Себестоимость!O8</f>
        <v>-1263.2945080664069</v>
      </c>
      <c r="P12" s="38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226" t="str" cm="1">
        <f t="array" aca="1" ref="A13" ca="1">HYPERLINK(CELL("адрес",Ресурсы!A6),"источник")</f>
        <v>источник</v>
      </c>
      <c r="B13" s="211" t="s">
        <v>286</v>
      </c>
      <c r="C13" s="453" t="s">
        <v>19</v>
      </c>
      <c r="D13" s="411">
        <f>SUM(F13:O13)</f>
        <v>-25547.913717178497</v>
      </c>
      <c r="E13" s="71"/>
      <c r="F13" s="230">
        <f>-Ресурсы!F6</f>
        <v>-937</v>
      </c>
      <c r="G13" s="230">
        <f>-Ресурсы!G6</f>
        <v>-976.36000000000013</v>
      </c>
      <c r="H13" s="230">
        <f>-Ресурсы!H6</f>
        <v>-1891.4052499999998</v>
      </c>
      <c r="I13" s="230">
        <f>-Ресурсы!I6</f>
        <v>-2831.6045775000002</v>
      </c>
      <c r="J13" s="230">
        <f>-Ресурсы!J6</f>
        <v>-2924.6045367375</v>
      </c>
      <c r="K13" s="230">
        <f>-Ресурсы!K6</f>
        <v>-3020.8178887479371</v>
      </c>
      <c r="L13" s="230">
        <f>-Ресурсы!L6</f>
        <v>-3106.1671039719558</v>
      </c>
      <c r="M13" s="230">
        <f>-Ресурсы!M6</f>
        <v>-3194.3980353000479</v>
      </c>
      <c r="N13" s="230">
        <f>-Ресурсы!N6</f>
        <v>-3285.6179675888011</v>
      </c>
      <c r="O13" s="230">
        <f>-Ресурсы!O6</f>
        <v>-3379.9383573322557</v>
      </c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30" x14ac:dyDescent="0.25">
      <c r="A14" s="226" t="str" cm="1">
        <f t="array" aca="1" ref="A14" ca="1">HYPERLINK(CELL("адрес",ОбщПрРасходы!A19),"источник")</f>
        <v>источник</v>
      </c>
      <c r="B14" s="211" t="s">
        <v>288</v>
      </c>
      <c r="C14" s="453" t="s">
        <v>19</v>
      </c>
      <c r="D14" s="411">
        <f>SUM(F14:O14)</f>
        <v>-600</v>
      </c>
      <c r="E14" s="71"/>
      <c r="F14" s="230">
        <f>-ОбщПрРасходы!F19</f>
        <v>-60</v>
      </c>
      <c r="G14" s="230">
        <f>-ОбщПрРасходы!G19</f>
        <v>-60</v>
      </c>
      <c r="H14" s="230">
        <f>-ОбщПрРасходы!H19</f>
        <v>-60</v>
      </c>
      <c r="I14" s="230">
        <f>-ОбщПрРасходы!I19</f>
        <v>-60</v>
      </c>
      <c r="J14" s="230">
        <f>-ОбщПрРасходы!J19</f>
        <v>-60</v>
      </c>
      <c r="K14" s="230">
        <f>-ОбщПрРасходы!K19</f>
        <v>-60</v>
      </c>
      <c r="L14" s="230">
        <f>-ОбщПрРасходы!L19</f>
        <v>-60</v>
      </c>
      <c r="M14" s="230">
        <f>-ОбщПрРасходы!M19</f>
        <v>-60</v>
      </c>
      <c r="N14" s="230">
        <f>-ОбщПрРасходы!N19</f>
        <v>-60</v>
      </c>
      <c r="O14" s="230">
        <f>-ОбщПрРасходы!O19</f>
        <v>-60</v>
      </c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226" t="str" cm="1">
        <f t="array" aca="1" ref="A15" ca="1">HYPERLINK(CELL("адрес",АдмРасходы!A19),"источник")</f>
        <v>источник</v>
      </c>
      <c r="B15" s="211" t="s">
        <v>289</v>
      </c>
      <c r="C15" s="453" t="s">
        <v>19</v>
      </c>
      <c r="D15" s="411">
        <f>SUM(F15:O15)</f>
        <v>-300</v>
      </c>
      <c r="E15" s="71"/>
      <c r="F15" s="230">
        <f>-АдмРасходы!F19</f>
        <v>-30</v>
      </c>
      <c r="G15" s="230">
        <f>-АдмРасходы!G19</f>
        <v>-30</v>
      </c>
      <c r="H15" s="230">
        <f>-АдмРасходы!H19</f>
        <v>-30</v>
      </c>
      <c r="I15" s="230">
        <f>-АдмРасходы!I19</f>
        <v>-30</v>
      </c>
      <c r="J15" s="230">
        <f>-АдмРасходы!J19</f>
        <v>-30</v>
      </c>
      <c r="K15" s="230">
        <f>-АдмРасходы!K19</f>
        <v>-30</v>
      </c>
      <c r="L15" s="230">
        <f>-АдмРасходы!L19</f>
        <v>-30</v>
      </c>
      <c r="M15" s="230">
        <f>-АдмРасходы!M19</f>
        <v>-30</v>
      </c>
      <c r="N15" s="230">
        <f>-АдмРасходы!N19</f>
        <v>-30</v>
      </c>
      <c r="O15" s="230">
        <f>-АдмРасходы!O19</f>
        <v>-30</v>
      </c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704"/>
      <c r="B16" s="705" t="s">
        <v>285</v>
      </c>
      <c r="C16" s="706" t="s">
        <v>19</v>
      </c>
      <c r="D16" s="624">
        <f>SUM(D11:D15)</f>
        <v>151341.13891795586</v>
      </c>
      <c r="E16" s="71"/>
      <c r="F16" s="624">
        <f>SUM(F11:F15)</f>
        <v>-1027</v>
      </c>
      <c r="G16" s="624">
        <f t="shared" ref="G16:O16" si="2">SUM(G11:G15)</f>
        <v>-1066.3600000000001</v>
      </c>
      <c r="H16" s="624">
        <f t="shared" si="2"/>
        <v>5444.5947500000002</v>
      </c>
      <c r="I16" s="624">
        <f t="shared" si="2"/>
        <v>18647.995422499996</v>
      </c>
      <c r="J16" s="624">
        <f t="shared" si="2"/>
        <v>19417.779463262505</v>
      </c>
      <c r="K16" s="624">
        <f t="shared" si="2"/>
        <v>20218.861471252065</v>
      </c>
      <c r="L16" s="624">
        <f t="shared" si="2"/>
        <v>21066.699430428045</v>
      </c>
      <c r="M16" s="624">
        <f t="shared" si="2"/>
        <v>21948.983160475953</v>
      </c>
      <c r="N16" s="624">
        <f t="shared" si="2"/>
        <v>22867.098476018244</v>
      </c>
      <c r="O16" s="624">
        <f t="shared" si="2"/>
        <v>23822.486744019072</v>
      </c>
      <c r="P16" s="385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89"/>
      <c r="B17" s="89"/>
      <c r="C17" s="703"/>
      <c r="D17" s="89"/>
      <c r="E17" s="71"/>
      <c r="F17" s="89"/>
      <c r="G17" s="149"/>
      <c r="H17" s="149"/>
      <c r="I17" s="149"/>
      <c r="J17" s="149"/>
      <c r="K17" s="149"/>
      <c r="L17" s="149"/>
      <c r="M17" s="149"/>
      <c r="N17" s="149"/>
      <c r="O17" s="149"/>
      <c r="P17" s="71"/>
      <c r="Q17" s="159"/>
    </row>
    <row r="18" spans="1:17" x14ac:dyDescent="0.25">
      <c r="A18" s="149"/>
      <c r="B18" s="402" t="s">
        <v>296</v>
      </c>
      <c r="C18" s="628"/>
      <c r="D18" s="402"/>
      <c r="E18" s="403"/>
      <c r="F18" s="625" t="str">
        <f>IFERROR(-SUM(F12:F15)/F11,"-")</f>
        <v>-</v>
      </c>
      <c r="G18" s="625" t="str">
        <f t="shared" ref="G18:O18" si="3">IFERROR(-SUM(G12:G15)/G11,"-")</f>
        <v>-</v>
      </c>
      <c r="H18" s="625">
        <f t="shared" si="3"/>
        <v>0.29346032312483777</v>
      </c>
      <c r="I18" s="625">
        <f t="shared" si="3"/>
        <v>0.17369747330290677</v>
      </c>
      <c r="J18" s="625">
        <f t="shared" si="3"/>
        <v>0.17268070756830209</v>
      </c>
      <c r="K18" s="625">
        <f t="shared" si="3"/>
        <v>0.1716822938057723</v>
      </c>
      <c r="L18" s="625">
        <f t="shared" si="3"/>
        <v>0.17014272053947324</v>
      </c>
      <c r="M18" s="625">
        <f t="shared" si="3"/>
        <v>0.16864220159448237</v>
      </c>
      <c r="N18" s="625">
        <f t="shared" si="3"/>
        <v>0.16717971949774665</v>
      </c>
      <c r="O18" s="625">
        <f t="shared" si="3"/>
        <v>0.16575428426036345</v>
      </c>
      <c r="P18" s="722"/>
      <c r="Q18" s="159"/>
    </row>
    <row r="19" spans="1:17" x14ac:dyDescent="0.25">
      <c r="A19" s="149"/>
      <c r="B19" s="402" t="s">
        <v>295</v>
      </c>
      <c r="C19" s="197"/>
      <c r="D19" s="149"/>
      <c r="E19" s="71"/>
      <c r="F19" s="625" t="str">
        <f>IFERROR(F16/F11,"-")</f>
        <v>-</v>
      </c>
      <c r="G19" s="625" t="str">
        <f>IFERROR(G16/G11,"-")</f>
        <v>-</v>
      </c>
      <c r="H19" s="625">
        <f>IFERROR(H16/H11,"-")</f>
        <v>0.70653967687516228</v>
      </c>
      <c r="I19" s="625">
        <f t="shared" ref="I19:O19" si="4">IFERROR(I16/I11,"-")</f>
        <v>0.82630252669709303</v>
      </c>
      <c r="J19" s="625">
        <f t="shared" si="4"/>
        <v>0.82731929243169788</v>
      </c>
      <c r="K19" s="625">
        <f t="shared" si="4"/>
        <v>0.82831770619422762</v>
      </c>
      <c r="L19" s="625">
        <f t="shared" si="4"/>
        <v>0.82985727946052679</v>
      </c>
      <c r="M19" s="625">
        <f t="shared" si="4"/>
        <v>0.8313577984055176</v>
      </c>
      <c r="N19" s="625">
        <f t="shared" si="4"/>
        <v>0.83282028050225343</v>
      </c>
      <c r="O19" s="625">
        <f t="shared" si="4"/>
        <v>0.83424571573963657</v>
      </c>
      <c r="P19" s="722"/>
      <c r="Q19" s="159"/>
    </row>
    <row r="20" spans="1:17" x14ac:dyDescent="0.25">
      <c r="A20" s="149"/>
      <c r="B20" s="149"/>
      <c r="C20" s="197"/>
      <c r="D20" s="149"/>
      <c r="E20" s="71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71"/>
      <c r="Q20" s="159"/>
    </row>
    <row r="21" spans="1:17" x14ac:dyDescent="0.25">
      <c r="A21" s="149"/>
      <c r="B21" s="613"/>
      <c r="C21" s="197"/>
      <c r="D21" s="149"/>
      <c r="E21" s="71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71"/>
      <c r="Q21" s="71"/>
    </row>
    <row r="22" spans="1:17" x14ac:dyDescent="0.25">
      <c r="A22" s="149"/>
      <c r="B22" s="613"/>
      <c r="C22" s="197"/>
      <c r="D22" s="149"/>
      <c r="E22" s="71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71"/>
      <c r="Q22" s="71"/>
    </row>
    <row r="23" spans="1:17" x14ac:dyDescent="0.25">
      <c r="A23" s="149"/>
      <c r="B23" s="174" t="str" cm="1">
        <f t="array" aca="1" ref="B23" ca="1">HYPERLINK(CELL("адрес",БДР!$A$1),"Перейти на лист БДР")</f>
        <v>Перейти на лист БДР</v>
      </c>
      <c r="C23" s="197"/>
      <c r="D23" s="149"/>
      <c r="E23" s="71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71"/>
      <c r="Q23" s="71"/>
    </row>
    <row r="24" spans="1:17" x14ac:dyDescent="0.25">
      <c r="A24" s="149"/>
      <c r="B24" s="174" t="str" cm="1">
        <f t="array" aca="1" ref="B24" ca="1">HYPERLINK(CELL("адрес",БДДС!$A$1),"Перейти на лист БДДС")</f>
        <v>Перейти на лист БДДС</v>
      </c>
      <c r="C24" s="197"/>
      <c r="D24" s="149"/>
      <c r="E24" s="71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71"/>
      <c r="Q24" s="71"/>
    </row>
    <row r="25" spans="1:17" x14ac:dyDescent="0.25">
      <c r="A25" s="149"/>
      <c r="B25" s="174" t="str" cm="1">
        <f t="array" aca="1" ref="B25" ca="1">HYPERLINK(CELL("адрес",Баланс!$A$1),"Перейти на лист Баланс")</f>
        <v>Перейти на лист Баланс</v>
      </c>
      <c r="C25" s="197"/>
      <c r="D25" s="149"/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  <c r="Q25" s="71"/>
    </row>
    <row r="26" spans="1:17" x14ac:dyDescent="0.25">
      <c r="A26" s="149"/>
      <c r="B26" s="174" t="str" cm="1">
        <f t="array" aca="1" ref="B26" ca="1">HYPERLINK(CELL("адрес",Дашборд_ИтогТабл!$A$1),"Перейти на лист Дашборд_1")</f>
        <v>Перейти на лист Дашборд_1</v>
      </c>
      <c r="C26" s="197"/>
      <c r="D26" s="149"/>
      <c r="E26" s="71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71"/>
      <c r="Q26" s="71"/>
    </row>
    <row r="27" spans="1:17" ht="30" x14ac:dyDescent="0.25">
      <c r="A27" s="149"/>
      <c r="B27" s="174" t="str" cm="1">
        <f t="array" aca="1" ref="B27" ca="1">HYPERLINK(CELL("адрес",Дашборд_Основной!$A$1),"Перейти на лист Дашборд_Общий")</f>
        <v>Перейти на лист Дашборд_Общий</v>
      </c>
      <c r="C27" s="197"/>
      <c r="D27" s="149"/>
      <c r="E27" s="7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71"/>
      <c r="Q27" s="71"/>
    </row>
    <row r="28" spans="1:17" ht="30" x14ac:dyDescent="0.25">
      <c r="A28" s="149"/>
      <c r="B28" s="174" t="str" cm="1">
        <f t="array" aca="1" ref="B28" ca="1">HYPERLINK(CELL("адрес",Дашборд_налоги!$A$1),"Перейти на лист Дашборд_Налоги")</f>
        <v>Перейти на лист Дашборд_Налоги</v>
      </c>
      <c r="C28" s="197"/>
      <c r="D28" s="149"/>
      <c r="E28" s="71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71"/>
      <c r="Q28" s="71"/>
    </row>
    <row r="29" spans="1:17" x14ac:dyDescent="0.25">
      <c r="B29" s="2"/>
    </row>
    <row r="30" spans="1:17" x14ac:dyDescent="0.25">
      <c r="B30" s="2"/>
    </row>
  </sheetData>
  <hyperlinks>
    <hyperlink ref="I1" location="Контроль!A1" display="Контроль!A1" xr:uid="{35602F90-01BF-4135-A89A-C4D58600697E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0305-2313-43C8-BEF7-419FC664DB78}">
  <sheetPr codeName="Лист24">
    <tabColor theme="9" tint="0.59999389629810485"/>
    <outlinePr summaryRight="0"/>
    <pageSetUpPr fitToPage="1"/>
  </sheetPr>
  <dimension ref="A1:AD47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1.71093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 x14ac:dyDescent="0.25">
      <c r="A1" s="690" t="s">
        <v>297</v>
      </c>
      <c r="B1" s="71"/>
      <c r="C1" s="404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91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04"/>
      <c r="D2" s="71"/>
      <c r="E2" s="71"/>
      <c r="F2" s="384">
        <v>1</v>
      </c>
      <c r="G2" s="384">
        <v>2</v>
      </c>
      <c r="H2" s="384">
        <v>3</v>
      </c>
      <c r="I2" s="384">
        <v>4</v>
      </c>
      <c r="J2" s="384">
        <v>5</v>
      </c>
      <c r="K2" s="384">
        <v>6</v>
      </c>
      <c r="L2" s="384">
        <v>7</v>
      </c>
      <c r="M2" s="384">
        <v>8</v>
      </c>
      <c r="N2" s="384">
        <v>9</v>
      </c>
      <c r="O2" s="384">
        <v>10</v>
      </c>
      <c r="P2" s="392"/>
      <c r="Q2" s="159"/>
      <c r="R2" s="392">
        <v>11</v>
      </c>
      <c r="S2" s="384">
        <f>R2+1</f>
        <v>12</v>
      </c>
      <c r="T2" s="384">
        <f>S2+1</f>
        <v>13</v>
      </c>
      <c r="U2" s="384">
        <f t="shared" ref="U2:AA3" si="0">T2+1</f>
        <v>14</v>
      </c>
      <c r="V2" s="384">
        <f t="shared" si="0"/>
        <v>15</v>
      </c>
      <c r="W2" s="384">
        <f t="shared" si="0"/>
        <v>16</v>
      </c>
      <c r="X2" s="384">
        <f t="shared" si="0"/>
        <v>17</v>
      </c>
      <c r="Y2" s="384">
        <f t="shared" si="0"/>
        <v>18</v>
      </c>
      <c r="Z2" s="384">
        <f t="shared" si="0"/>
        <v>19</v>
      </c>
      <c r="AA2" s="384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242"/>
      <c r="B5" s="211"/>
      <c r="C5" s="407"/>
      <c r="D5" s="149"/>
      <c r="E5" s="71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386"/>
      <c r="Q5" s="159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45" x14ac:dyDescent="0.25">
      <c r="A6" s="226" t="str" cm="1">
        <f t="array" aca="1" ref="A6" ca="1">HYPERLINK(CELL("адрес",БДРбезЛьгот!A25),"источник")</f>
        <v>источник</v>
      </c>
      <c r="B6" s="211" t="s">
        <v>323</v>
      </c>
      <c r="C6" s="244" t="s">
        <v>19</v>
      </c>
      <c r="D6" s="411">
        <f ca="1">SUM(F6:O6)</f>
        <v>312161.50422257569</v>
      </c>
      <c r="E6" s="71"/>
      <c r="F6" s="230">
        <f ca="1">БДРбезЛьгот!F25</f>
        <v>-9112.1866666666665</v>
      </c>
      <c r="G6" s="230">
        <f ca="1">БДРбезЛьгот!G25</f>
        <v>-15603.285813333332</v>
      </c>
      <c r="H6" s="230">
        <f ca="1">БДРбезЛьгот!H25</f>
        <v>-28707.620170121903</v>
      </c>
      <c r="I6" s="230">
        <f ca="1">БДРбезЛьгот!I25</f>
        <v>37746.912061296716</v>
      </c>
      <c r="J6" s="230">
        <f ca="1">БДРбезЛьгот!J25</f>
        <v>42005.610413488648</v>
      </c>
      <c r="K6" s="230">
        <f ca="1">БДРбезЛьгот!K25</f>
        <v>46392.298611822123</v>
      </c>
      <c r="L6" s="230">
        <f ca="1">БДРбезЛьгот!L25</f>
        <v>51024.731323203763</v>
      </c>
      <c r="M6" s="230">
        <f ca="1">БДРбезЛьгот!M25</f>
        <v>56634.851871414772</v>
      </c>
      <c r="N6" s="230">
        <f ca="1">БДРбезЛьгот!N25</f>
        <v>61562.197929778245</v>
      </c>
      <c r="O6" s="230">
        <f ca="1">БДРбезЛьгот!O25</f>
        <v>70217.994661693301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242"/>
      <c r="B7" s="211"/>
      <c r="C7" s="407"/>
      <c r="D7" s="149"/>
      <c r="E7" s="71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609" t="s">
        <v>759</v>
      </c>
      <c r="B8" s="611"/>
      <c r="C8" s="614"/>
      <c r="D8" s="614"/>
      <c r="E8" s="71"/>
      <c r="F8" s="469"/>
      <c r="G8" s="469"/>
      <c r="H8" s="469"/>
      <c r="I8" s="469"/>
      <c r="J8" s="469"/>
      <c r="K8" s="469"/>
      <c r="L8" s="469"/>
      <c r="M8" s="469"/>
      <c r="N8" s="469"/>
      <c r="O8" s="469"/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242"/>
      <c r="B9" s="211"/>
      <c r="C9" s="407"/>
      <c r="D9" s="149"/>
      <c r="E9" s="71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ht="29.25" x14ac:dyDescent="0.25">
      <c r="A10" s="226" t="str" cm="1">
        <f t="array" aca="1" ref="A10" ca="1">HYPERLINK(CELL("адрес",Макро!A33),"источник")</f>
        <v>источник</v>
      </c>
      <c r="B10" s="183" t="s">
        <v>597</v>
      </c>
      <c r="C10" s="194" t="s">
        <v>27</v>
      </c>
      <c r="D10" s="149"/>
      <c r="E10" s="71"/>
      <c r="F10" s="468">
        <f>SUM(F11:F12)</f>
        <v>0.2</v>
      </c>
      <c r="G10" s="468">
        <f t="shared" ref="G10:O10" si="2">SUM(G11:G12)</f>
        <v>0.2</v>
      </c>
      <c r="H10" s="468">
        <f t="shared" si="2"/>
        <v>0.2</v>
      </c>
      <c r="I10" s="468">
        <f t="shared" si="2"/>
        <v>0.2</v>
      </c>
      <c r="J10" s="468">
        <f t="shared" si="2"/>
        <v>0.2</v>
      </c>
      <c r="K10" s="468">
        <f t="shared" si="2"/>
        <v>0.2</v>
      </c>
      <c r="L10" s="468">
        <f t="shared" si="2"/>
        <v>0.2</v>
      </c>
      <c r="M10" s="468">
        <f t="shared" si="2"/>
        <v>0.2</v>
      </c>
      <c r="N10" s="468">
        <f t="shared" si="2"/>
        <v>0.2</v>
      </c>
      <c r="O10" s="468">
        <f t="shared" si="2"/>
        <v>0.2</v>
      </c>
      <c r="P10" s="723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226"/>
      <c r="B11" s="178" t="s">
        <v>598</v>
      </c>
      <c r="C11" s="191" t="s">
        <v>27</v>
      </c>
      <c r="D11" s="149"/>
      <c r="E11" s="71"/>
      <c r="F11" s="468">
        <f>Макро!F34</f>
        <v>0.03</v>
      </c>
      <c r="G11" s="468">
        <f>Макро!G34</f>
        <v>0.03</v>
      </c>
      <c r="H11" s="468">
        <f>Макро!H34</f>
        <v>0.03</v>
      </c>
      <c r="I11" s="468">
        <f>Макро!I34</f>
        <v>0.03</v>
      </c>
      <c r="J11" s="468">
        <f>Макро!J34</f>
        <v>0.03</v>
      </c>
      <c r="K11" s="468">
        <f>Макро!K34</f>
        <v>0.03</v>
      </c>
      <c r="L11" s="468">
        <f>Макро!L34</f>
        <v>0.03</v>
      </c>
      <c r="M11" s="468">
        <f>Макро!M34</f>
        <v>0.03</v>
      </c>
      <c r="N11" s="468">
        <f>Макро!N34</f>
        <v>0.03</v>
      </c>
      <c r="O11" s="468">
        <f>Макро!O34</f>
        <v>0.03</v>
      </c>
      <c r="P11" s="723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226"/>
      <c r="B12" s="178" t="s">
        <v>599</v>
      </c>
      <c r="C12" s="191" t="s">
        <v>27</v>
      </c>
      <c r="D12" s="149"/>
      <c r="E12" s="71"/>
      <c r="F12" s="468">
        <f>Макро!F35</f>
        <v>0.17</v>
      </c>
      <c r="G12" s="468">
        <f>Макро!G35</f>
        <v>0.17</v>
      </c>
      <c r="H12" s="468">
        <f>Макро!H35</f>
        <v>0.17</v>
      </c>
      <c r="I12" s="468">
        <f>Макро!I35</f>
        <v>0.17</v>
      </c>
      <c r="J12" s="468">
        <f>Макро!J35</f>
        <v>0.17</v>
      </c>
      <c r="K12" s="468">
        <f>Макро!K35</f>
        <v>0.17</v>
      </c>
      <c r="L12" s="468">
        <f>Макро!L35</f>
        <v>0.17</v>
      </c>
      <c r="M12" s="468">
        <f>Макро!M35</f>
        <v>0.17</v>
      </c>
      <c r="N12" s="468">
        <f>Макро!N35</f>
        <v>0.17</v>
      </c>
      <c r="O12" s="468">
        <f>Макро!O35</f>
        <v>0.17</v>
      </c>
      <c r="P12" s="723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226"/>
      <c r="B13" s="211"/>
      <c r="C13" s="191"/>
      <c r="D13" s="149"/>
      <c r="E13" s="71"/>
      <c r="F13" s="468"/>
      <c r="G13" s="468"/>
      <c r="H13" s="468"/>
      <c r="I13" s="468"/>
      <c r="J13" s="468"/>
      <c r="K13" s="468"/>
      <c r="L13" s="468"/>
      <c r="M13" s="468"/>
      <c r="N13" s="468"/>
      <c r="O13" s="468"/>
      <c r="P13" s="723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9.4" customHeight="1" x14ac:dyDescent="0.25">
      <c r="A14" s="226"/>
      <c r="B14" s="211"/>
      <c r="C14" s="191"/>
      <c r="D14" s="149"/>
      <c r="E14" s="71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723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42.75" x14ac:dyDescent="0.25">
      <c r="A15" s="242"/>
      <c r="B15" s="630" t="s">
        <v>613</v>
      </c>
      <c r="C15" s="244" t="s">
        <v>19</v>
      </c>
      <c r="D15" s="411">
        <f ca="1">SUM(F15:O15)</f>
        <v>62432.300844515135</v>
      </c>
      <c r="E15" s="71"/>
      <c r="F15" s="411">
        <f ca="1">SUM(F16:F17)</f>
        <v>-1822.4373333333333</v>
      </c>
      <c r="G15" s="411">
        <f t="shared" ref="G15:O15" ca="1" si="3">SUM(G16:G17)</f>
        <v>-3120.6571626666664</v>
      </c>
      <c r="H15" s="411">
        <f t="shared" ca="1" si="3"/>
        <v>-5741.5240340243809</v>
      </c>
      <c r="I15" s="411">
        <f t="shared" ca="1" si="3"/>
        <v>7549.3824122593433</v>
      </c>
      <c r="J15" s="411">
        <f t="shared" ca="1" si="3"/>
        <v>8401.1220826977296</v>
      </c>
      <c r="K15" s="411">
        <f t="shared" ca="1" si="3"/>
        <v>9278.459722364425</v>
      </c>
      <c r="L15" s="411">
        <f t="shared" ca="1" si="3"/>
        <v>10204.946264640752</v>
      </c>
      <c r="M15" s="411">
        <f t="shared" ca="1" si="3"/>
        <v>11326.970374282955</v>
      </c>
      <c r="N15" s="411">
        <f t="shared" ca="1" si="3"/>
        <v>12312.43958595565</v>
      </c>
      <c r="O15" s="411">
        <f t="shared" ca="1" si="3"/>
        <v>14043.59893233866</v>
      </c>
      <c r="P15" s="385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242"/>
      <c r="B16" s="178" t="s">
        <v>598</v>
      </c>
      <c r="C16" s="244" t="s">
        <v>19</v>
      </c>
      <c r="D16" s="411">
        <f ca="1">SUM(F16:O16)</f>
        <v>9364.8451266772699</v>
      </c>
      <c r="E16" s="71"/>
      <c r="F16" s="230">
        <f t="shared" ref="F16:O16" ca="1" si="4">F6*F11</f>
        <v>-273.36559999999997</v>
      </c>
      <c r="G16" s="230">
        <f t="shared" ca="1" si="4"/>
        <v>-468.09857439999996</v>
      </c>
      <c r="H16" s="230">
        <f t="shared" ca="1" si="4"/>
        <v>-861.22860510365706</v>
      </c>
      <c r="I16" s="230">
        <f t="shared" ca="1" si="4"/>
        <v>1132.4073618389014</v>
      </c>
      <c r="J16" s="230">
        <f t="shared" ca="1" si="4"/>
        <v>1260.1683124046594</v>
      </c>
      <c r="K16" s="230">
        <f t="shared" ca="1" si="4"/>
        <v>1391.7689583546637</v>
      </c>
      <c r="L16" s="230">
        <f t="shared" ca="1" si="4"/>
        <v>1530.7419396961129</v>
      </c>
      <c r="M16" s="230">
        <f t="shared" ca="1" si="4"/>
        <v>1699.045556142443</v>
      </c>
      <c r="N16" s="230">
        <f t="shared" ca="1" si="4"/>
        <v>1846.8659378933473</v>
      </c>
      <c r="O16" s="230">
        <f t="shared" ca="1" si="4"/>
        <v>2106.5398398507991</v>
      </c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242"/>
      <c r="B17" s="178" t="s">
        <v>599</v>
      </c>
      <c r="C17" s="244" t="s">
        <v>19</v>
      </c>
      <c r="D17" s="411">
        <f ca="1">SUM(F17:O17)</f>
        <v>53067.455717837867</v>
      </c>
      <c r="E17" s="71"/>
      <c r="F17" s="230">
        <f t="shared" ref="F17:O17" ca="1" si="5">F6*F12</f>
        <v>-1549.0717333333334</v>
      </c>
      <c r="G17" s="230">
        <f t="shared" ca="1" si="5"/>
        <v>-2652.5585882666664</v>
      </c>
      <c r="H17" s="230">
        <f t="shared" ca="1" si="5"/>
        <v>-4880.2954289207237</v>
      </c>
      <c r="I17" s="230">
        <f t="shared" ca="1" si="5"/>
        <v>6416.9750504204421</v>
      </c>
      <c r="J17" s="230">
        <f t="shared" ca="1" si="5"/>
        <v>7140.9537702930711</v>
      </c>
      <c r="K17" s="230">
        <f t="shared" ca="1" si="5"/>
        <v>7886.6907640097616</v>
      </c>
      <c r="L17" s="230">
        <f t="shared" ca="1" si="5"/>
        <v>8674.2043249446397</v>
      </c>
      <c r="M17" s="230">
        <f t="shared" ca="1" si="5"/>
        <v>9627.9248181405128</v>
      </c>
      <c r="N17" s="230">
        <f t="shared" ca="1" si="5"/>
        <v>10465.573648062302</v>
      </c>
      <c r="O17" s="230">
        <f t="shared" ca="1" si="5"/>
        <v>11937.059092487862</v>
      </c>
      <c r="P17" s="386"/>
      <c r="Q17" s="159"/>
    </row>
    <row r="18" spans="1:17" x14ac:dyDescent="0.25">
      <c r="A18" s="242"/>
      <c r="B18" s="211"/>
      <c r="C18" s="407"/>
      <c r="D18" s="149"/>
      <c r="E18" s="71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386"/>
      <c r="Q18" s="159"/>
    </row>
    <row r="19" spans="1:17" x14ac:dyDescent="0.25">
      <c r="A19" s="242"/>
      <c r="B19" s="211"/>
      <c r="C19" s="407"/>
      <c r="D19" s="149"/>
      <c r="E19" s="71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386"/>
      <c r="Q19" s="159"/>
    </row>
    <row r="20" spans="1:17" ht="45" x14ac:dyDescent="0.25">
      <c r="A20" s="226" t="str" cm="1">
        <f t="array" aca="1" ref="A20" ca="1">HYPERLINK(CELL("адрес",БДР!A25),"источник")</f>
        <v>источник</v>
      </c>
      <c r="B20" s="211" t="s">
        <v>322</v>
      </c>
      <c r="C20" s="407"/>
      <c r="D20" s="411">
        <f ca="1">SUM(F20:O20)</f>
        <v>364991.91955555009</v>
      </c>
      <c r="E20" s="71"/>
      <c r="F20" s="230">
        <f ca="1">БДР!F25</f>
        <v>-8253.880000000001</v>
      </c>
      <c r="G20" s="230">
        <f ca="1">БДР!G25</f>
        <v>-14225.05312</v>
      </c>
      <c r="H20" s="230">
        <f ca="1">БДР!H25</f>
        <v>-27301.691610030481</v>
      </c>
      <c r="I20" s="230">
        <f ca="1">БДР!I25</f>
        <v>39292.215430605851</v>
      </c>
      <c r="J20" s="230">
        <f ca="1">БДР!J25</f>
        <v>44528.807378531026</v>
      </c>
      <c r="K20" s="230">
        <f ca="1">БДР!K25</f>
        <v>53469.562775873041</v>
      </c>
      <c r="L20" s="230">
        <f ca="1">БДР!L25</f>
        <v>61820.113545996195</v>
      </c>
      <c r="M20" s="230">
        <f ca="1">БДР!M25</f>
        <v>66748.892555809318</v>
      </c>
      <c r="N20" s="230">
        <f ca="1">БДР!N25</f>
        <v>71833.230862443248</v>
      </c>
      <c r="O20" s="230">
        <f ca="1">БДР!O25</f>
        <v>77079.721736321895</v>
      </c>
      <c r="P20" s="386"/>
      <c r="Q20" s="159"/>
    </row>
    <row r="21" spans="1:17" x14ac:dyDescent="0.25">
      <c r="A21" s="609" t="s">
        <v>760</v>
      </c>
      <c r="B21" s="611"/>
      <c r="C21" s="614"/>
      <c r="D21" s="614"/>
      <c r="E21" s="71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386"/>
      <c r="Q21" s="159"/>
    </row>
    <row r="22" spans="1:17" ht="7.9" customHeight="1" x14ac:dyDescent="0.25">
      <c r="A22" s="226"/>
      <c r="B22" s="211"/>
      <c r="C22" s="407"/>
      <c r="D22" s="411"/>
      <c r="E22" s="71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386"/>
      <c r="Q22" s="159"/>
    </row>
    <row r="23" spans="1:17" ht="29.25" x14ac:dyDescent="0.25">
      <c r="A23" s="226" t="str" cm="1">
        <f t="array" aca="1" ref="A23" ca="1">HYPERLINK(CELL("адрес",Макро!A37),"источник")</f>
        <v>источник</v>
      </c>
      <c r="B23" s="183" t="s">
        <v>597</v>
      </c>
      <c r="C23" s="191" t="s">
        <v>27</v>
      </c>
      <c r="D23" s="149"/>
      <c r="E23" s="71"/>
      <c r="F23" s="468">
        <f>SUM(F24:F25)</f>
        <v>0.02</v>
      </c>
      <c r="G23" s="468">
        <f t="shared" ref="G23:O23" si="6">SUM(G24:G25)</f>
        <v>0.02</v>
      </c>
      <c r="H23" s="468">
        <f t="shared" si="6"/>
        <v>0.02</v>
      </c>
      <c r="I23" s="468">
        <f t="shared" si="6"/>
        <v>0.02</v>
      </c>
      <c r="J23" s="468">
        <f t="shared" si="6"/>
        <v>0.02</v>
      </c>
      <c r="K23" s="468">
        <f t="shared" si="6"/>
        <v>0.02</v>
      </c>
      <c r="L23" s="468">
        <f t="shared" si="6"/>
        <v>0.02</v>
      </c>
      <c r="M23" s="468">
        <f t="shared" si="6"/>
        <v>0.02</v>
      </c>
      <c r="N23" s="468">
        <f t="shared" si="6"/>
        <v>7.0000000000000007E-2</v>
      </c>
      <c r="O23" s="468">
        <f t="shared" si="6"/>
        <v>7.0000000000000007E-2</v>
      </c>
      <c r="P23" s="723"/>
      <c r="Q23" s="159"/>
    </row>
    <row r="24" spans="1:17" x14ac:dyDescent="0.25">
      <c r="A24" s="226"/>
      <c r="B24" s="178" t="s">
        <v>598</v>
      </c>
      <c r="C24" s="191" t="s">
        <v>27</v>
      </c>
      <c r="D24" s="149"/>
      <c r="E24" s="71"/>
      <c r="F24" s="468">
        <f>Макро!F38</f>
        <v>0.02</v>
      </c>
      <c r="G24" s="468">
        <f>Макро!G38</f>
        <v>0.02</v>
      </c>
      <c r="H24" s="468">
        <f>Макро!H38</f>
        <v>0.02</v>
      </c>
      <c r="I24" s="468">
        <f>Макро!I38</f>
        <v>0.02</v>
      </c>
      <c r="J24" s="468">
        <f>Макро!J38</f>
        <v>0.02</v>
      </c>
      <c r="K24" s="468">
        <f>Макро!K38</f>
        <v>0.02</v>
      </c>
      <c r="L24" s="468">
        <f>Макро!L38</f>
        <v>0.02</v>
      </c>
      <c r="M24" s="468">
        <f>Макро!M38</f>
        <v>0.02</v>
      </c>
      <c r="N24" s="468">
        <f>Макро!N38</f>
        <v>0.02</v>
      </c>
      <c r="O24" s="468">
        <f>Макро!O38</f>
        <v>0.02</v>
      </c>
      <c r="P24" s="723"/>
      <c r="Q24" s="159"/>
    </row>
    <row r="25" spans="1:17" x14ac:dyDescent="0.25">
      <c r="A25" s="226"/>
      <c r="B25" s="178" t="s">
        <v>599</v>
      </c>
      <c r="C25" s="191" t="s">
        <v>27</v>
      </c>
      <c r="D25" s="149"/>
      <c r="E25" s="71"/>
      <c r="F25" s="468">
        <f>Макро!F39</f>
        <v>0</v>
      </c>
      <c r="G25" s="468">
        <f>Макро!G39</f>
        <v>0</v>
      </c>
      <c r="H25" s="468">
        <f>Макро!H39</f>
        <v>0</v>
      </c>
      <c r="I25" s="468">
        <f>Макро!I39</f>
        <v>0</v>
      </c>
      <c r="J25" s="468">
        <f>Макро!J39</f>
        <v>0</v>
      </c>
      <c r="K25" s="468">
        <f>Макро!K39</f>
        <v>0</v>
      </c>
      <c r="L25" s="468">
        <f>Макро!L39</f>
        <v>0</v>
      </c>
      <c r="M25" s="468">
        <f>Макро!M39</f>
        <v>0</v>
      </c>
      <c r="N25" s="468">
        <f>Макро!N39</f>
        <v>0.05</v>
      </c>
      <c r="O25" s="468">
        <f>Макро!O39</f>
        <v>0.05</v>
      </c>
      <c r="P25" s="723"/>
      <c r="Q25" s="159"/>
    </row>
    <row r="26" spans="1:17" x14ac:dyDescent="0.25">
      <c r="A26" s="226"/>
      <c r="B26" s="178"/>
      <c r="C26" s="191"/>
      <c r="D26" s="149"/>
      <c r="E26" s="71"/>
      <c r="F26" s="468"/>
      <c r="G26" s="468"/>
      <c r="H26" s="468"/>
      <c r="I26" s="468"/>
      <c r="J26" s="468"/>
      <c r="K26" s="468"/>
      <c r="L26" s="468"/>
      <c r="M26" s="468"/>
      <c r="N26" s="468"/>
      <c r="O26" s="468"/>
      <c r="P26" s="723"/>
      <c r="Q26" s="159"/>
    </row>
    <row r="27" spans="1:17" ht="42.75" x14ac:dyDescent="0.25">
      <c r="A27" s="629">
        <f ca="1">ROUND(D27/1000,2)</f>
        <v>14.75</v>
      </c>
      <c r="B27" s="630" t="s">
        <v>614</v>
      </c>
      <c r="C27" s="244" t="s">
        <v>19</v>
      </c>
      <c r="D27" s="411">
        <f ca="1">SUM(F27:O27)</f>
        <v>14745.486021049259</v>
      </c>
      <c r="E27" s="71"/>
      <c r="F27" s="411">
        <f ca="1">SUM(F28:F29)</f>
        <v>-165.07760000000002</v>
      </c>
      <c r="G27" s="411">
        <f t="shared" ref="G27:O27" ca="1" si="7">SUM(G28:G29)</f>
        <v>-284.50106240000002</v>
      </c>
      <c r="H27" s="411">
        <f t="shared" ca="1" si="7"/>
        <v>-546.0338322006096</v>
      </c>
      <c r="I27" s="411">
        <f t="shared" ca="1" si="7"/>
        <v>785.84430861211706</v>
      </c>
      <c r="J27" s="411">
        <f t="shared" ca="1" si="7"/>
        <v>890.57614757062049</v>
      </c>
      <c r="K27" s="411">
        <f t="shared" ca="1" si="7"/>
        <v>1069.3912555174609</v>
      </c>
      <c r="L27" s="411">
        <f t="shared" ca="1" si="7"/>
        <v>1236.4022709199239</v>
      </c>
      <c r="M27" s="411">
        <f t="shared" ca="1" si="7"/>
        <v>1334.9778511161865</v>
      </c>
      <c r="N27" s="411">
        <f t="shared" ca="1" si="7"/>
        <v>5028.3261603710271</v>
      </c>
      <c r="O27" s="411">
        <f t="shared" ca="1" si="7"/>
        <v>5395.5805215425326</v>
      </c>
      <c r="P27" s="385"/>
      <c r="Q27" s="159"/>
    </row>
    <row r="28" spans="1:17" x14ac:dyDescent="0.25">
      <c r="A28" s="629">
        <f ca="1">ROUND(D28/1000,2)</f>
        <v>7.3</v>
      </c>
      <c r="B28" s="178" t="s">
        <v>782</v>
      </c>
      <c r="C28" s="244" t="s">
        <v>19</v>
      </c>
      <c r="D28" s="411">
        <f ca="1">SUM(F28:O28)</f>
        <v>7299.8383911110013</v>
      </c>
      <c r="E28" s="71"/>
      <c r="F28" s="230">
        <f t="shared" ref="F28:O28" ca="1" si="8">F20*F24</f>
        <v>-165.07760000000002</v>
      </c>
      <c r="G28" s="230">
        <f t="shared" ca="1" si="8"/>
        <v>-284.50106240000002</v>
      </c>
      <c r="H28" s="230">
        <f t="shared" ca="1" si="8"/>
        <v>-546.0338322006096</v>
      </c>
      <c r="I28" s="230">
        <f t="shared" ca="1" si="8"/>
        <v>785.84430861211706</v>
      </c>
      <c r="J28" s="230">
        <f t="shared" ca="1" si="8"/>
        <v>890.57614757062049</v>
      </c>
      <c r="K28" s="230">
        <f t="shared" ca="1" si="8"/>
        <v>1069.3912555174609</v>
      </c>
      <c r="L28" s="230">
        <f t="shared" ca="1" si="8"/>
        <v>1236.4022709199239</v>
      </c>
      <c r="M28" s="230">
        <f t="shared" ca="1" si="8"/>
        <v>1334.9778511161865</v>
      </c>
      <c r="N28" s="230">
        <f t="shared" ca="1" si="8"/>
        <v>1436.6646172488649</v>
      </c>
      <c r="O28" s="230">
        <f t="shared" ca="1" si="8"/>
        <v>1541.5944347264378</v>
      </c>
      <c r="P28" s="386"/>
      <c r="Q28" s="159"/>
    </row>
    <row r="29" spans="1:17" x14ac:dyDescent="0.25">
      <c r="A29" s="629">
        <f ca="1">ROUND(D29/1000,2)</f>
        <v>7.45</v>
      </c>
      <c r="B29" s="178" t="s">
        <v>783</v>
      </c>
      <c r="C29" s="244" t="s">
        <v>19</v>
      </c>
      <c r="D29" s="411">
        <f ca="1">SUM(F29:O29)</f>
        <v>7445.6476299382575</v>
      </c>
      <c r="E29" s="71"/>
      <c r="F29" s="230">
        <f t="shared" ref="F29:O29" ca="1" si="9">F20*F25</f>
        <v>0</v>
      </c>
      <c r="G29" s="230">
        <f t="shared" ca="1" si="9"/>
        <v>0</v>
      </c>
      <c r="H29" s="230">
        <f t="shared" ca="1" si="9"/>
        <v>0</v>
      </c>
      <c r="I29" s="230">
        <f t="shared" ca="1" si="9"/>
        <v>0</v>
      </c>
      <c r="J29" s="230">
        <f t="shared" ca="1" si="9"/>
        <v>0</v>
      </c>
      <c r="K29" s="230">
        <f t="shared" ca="1" si="9"/>
        <v>0</v>
      </c>
      <c r="L29" s="230">
        <f t="shared" ca="1" si="9"/>
        <v>0</v>
      </c>
      <c r="M29" s="230">
        <f t="shared" ca="1" si="9"/>
        <v>0</v>
      </c>
      <c r="N29" s="230">
        <f t="shared" ca="1" si="9"/>
        <v>3591.6615431221626</v>
      </c>
      <c r="O29" s="230">
        <f t="shared" ca="1" si="9"/>
        <v>3853.9860868160949</v>
      </c>
      <c r="P29" s="386"/>
      <c r="Q29" s="159"/>
    </row>
    <row r="30" spans="1:17" x14ac:dyDescent="0.25">
      <c r="A30" s="402"/>
      <c r="B30" s="149"/>
      <c r="C30" s="407"/>
      <c r="D30" s="149"/>
      <c r="E30" s="71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386"/>
      <c r="Q30" s="159"/>
    </row>
    <row r="31" spans="1:17" ht="28.5" x14ac:dyDescent="0.25">
      <c r="A31" s="450">
        <f ca="1">ROUND(D31/1000,2)</f>
        <v>47.69</v>
      </c>
      <c r="B31" s="630" t="s">
        <v>616</v>
      </c>
      <c r="C31" s="244" t="s">
        <v>19</v>
      </c>
      <c r="D31" s="411">
        <f ca="1">SUM(F31:O31)</f>
        <v>47686.814823465873</v>
      </c>
      <c r="E31" s="71"/>
      <c r="F31" s="411">
        <f ca="1">SUM(F32:F33)</f>
        <v>-1657.3597333333335</v>
      </c>
      <c r="G31" s="411">
        <f t="shared" ref="G31:O31" ca="1" si="10">SUM(G32:G33)</f>
        <v>-2836.1561002666663</v>
      </c>
      <c r="H31" s="411">
        <f t="shared" ca="1" si="10"/>
        <v>-5195.4902018237708</v>
      </c>
      <c r="I31" s="411">
        <f t="shared" ca="1" si="10"/>
        <v>6763.5381036472263</v>
      </c>
      <c r="J31" s="411">
        <f t="shared" ca="1" si="10"/>
        <v>7510.5459351271102</v>
      </c>
      <c r="K31" s="411">
        <f t="shared" ca="1" si="10"/>
        <v>8209.0684668469639</v>
      </c>
      <c r="L31" s="411">
        <f t="shared" ca="1" si="10"/>
        <v>8968.5439937208284</v>
      </c>
      <c r="M31" s="411">
        <f t="shared" ca="1" si="10"/>
        <v>9991.9925231667694</v>
      </c>
      <c r="N31" s="411">
        <f t="shared" ca="1" si="10"/>
        <v>7284.1134255846218</v>
      </c>
      <c r="O31" s="411">
        <f t="shared" ca="1" si="10"/>
        <v>8648.0184107961286</v>
      </c>
      <c r="P31" s="385"/>
      <c r="Q31" s="159"/>
    </row>
    <row r="32" spans="1:17" x14ac:dyDescent="0.25">
      <c r="A32" s="450">
        <f t="shared" ref="A32:A33" ca="1" si="11">ROUND(D32/1000,2)</f>
        <v>2.0699999999999998</v>
      </c>
      <c r="B32" s="178" t="s">
        <v>598</v>
      </c>
      <c r="C32" s="244" t="s">
        <v>19</v>
      </c>
      <c r="D32" s="411">
        <f ca="1">SUM(F32:O32)</f>
        <v>2065.0067355662677</v>
      </c>
      <c r="E32" s="71"/>
      <c r="F32" s="230">
        <f t="shared" ref="F32:O32" ca="1" si="12">F16-F28</f>
        <v>-108.28799999999995</v>
      </c>
      <c r="G32" s="230">
        <f t="shared" ca="1" si="12"/>
        <v>-183.59751199999994</v>
      </c>
      <c r="H32" s="230">
        <f t="shared" ca="1" si="12"/>
        <v>-315.19477290304746</v>
      </c>
      <c r="I32" s="230">
        <f t="shared" ca="1" si="12"/>
        <v>346.56305322678429</v>
      </c>
      <c r="J32" s="230">
        <f t="shared" ca="1" si="12"/>
        <v>369.59216483403895</v>
      </c>
      <c r="K32" s="230">
        <f t="shared" ca="1" si="12"/>
        <v>322.37770283720283</v>
      </c>
      <c r="L32" s="230">
        <f t="shared" ca="1" si="12"/>
        <v>294.339668776189</v>
      </c>
      <c r="M32" s="230">
        <f t="shared" ca="1" si="12"/>
        <v>364.06770502625659</v>
      </c>
      <c r="N32" s="230">
        <f t="shared" ca="1" si="12"/>
        <v>410.20132064448239</v>
      </c>
      <c r="O32" s="230">
        <f t="shared" ca="1" si="12"/>
        <v>564.94540512436129</v>
      </c>
      <c r="P32" s="386"/>
      <c r="Q32" s="159"/>
    </row>
    <row r="33" spans="1:17" x14ac:dyDescent="0.25">
      <c r="A33" s="450">
        <f t="shared" ca="1" si="11"/>
        <v>45.62</v>
      </c>
      <c r="B33" s="178" t="s">
        <v>599</v>
      </c>
      <c r="C33" s="244" t="s">
        <v>19</v>
      </c>
      <c r="D33" s="411">
        <f ca="1">SUM(F33:O33)</f>
        <v>45621.808087899604</v>
      </c>
      <c r="E33" s="71"/>
      <c r="F33" s="230">
        <f t="shared" ref="F33:O33" ca="1" si="13">F17-F29</f>
        <v>-1549.0717333333334</v>
      </c>
      <c r="G33" s="230">
        <f t="shared" ca="1" si="13"/>
        <v>-2652.5585882666664</v>
      </c>
      <c r="H33" s="230">
        <f t="shared" ca="1" si="13"/>
        <v>-4880.2954289207237</v>
      </c>
      <c r="I33" s="230">
        <f t="shared" ca="1" si="13"/>
        <v>6416.9750504204421</v>
      </c>
      <c r="J33" s="230">
        <f t="shared" ca="1" si="13"/>
        <v>7140.9537702930711</v>
      </c>
      <c r="K33" s="230">
        <f t="shared" ca="1" si="13"/>
        <v>7886.6907640097616</v>
      </c>
      <c r="L33" s="230">
        <f t="shared" ca="1" si="13"/>
        <v>8674.2043249446397</v>
      </c>
      <c r="M33" s="230">
        <f t="shared" ca="1" si="13"/>
        <v>9627.9248181405128</v>
      </c>
      <c r="N33" s="230">
        <f t="shared" ca="1" si="13"/>
        <v>6873.9121049401392</v>
      </c>
      <c r="O33" s="230">
        <f t="shared" ca="1" si="13"/>
        <v>8083.0730056717666</v>
      </c>
      <c r="P33" s="386"/>
      <c r="Q33" s="159"/>
    </row>
    <row r="34" spans="1:17" x14ac:dyDescent="0.25">
      <c r="A34" s="149"/>
      <c r="B34" s="149"/>
      <c r="C34" s="407"/>
      <c r="D34" s="149"/>
      <c r="E34" s="71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386"/>
      <c r="Q34" s="159"/>
    </row>
    <row r="35" spans="1:17" x14ac:dyDescent="0.25">
      <c r="A35" s="149"/>
      <c r="B35" s="149"/>
      <c r="C35" s="407"/>
      <c r="D35" s="149"/>
      <c r="E35" s="71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386"/>
      <c r="Q35" s="159"/>
    </row>
    <row r="36" spans="1:17" x14ac:dyDescent="0.25">
      <c r="A36" s="149"/>
      <c r="B36" s="613"/>
      <c r="C36" s="407"/>
      <c r="D36" s="149"/>
      <c r="E36" s="71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71"/>
      <c r="Q36" s="159"/>
    </row>
    <row r="37" spans="1:17" x14ac:dyDescent="0.25">
      <c r="A37" s="149"/>
      <c r="B37" s="613"/>
      <c r="C37" s="407"/>
      <c r="D37" s="149"/>
      <c r="E37" s="71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71"/>
    </row>
    <row r="38" spans="1:17" x14ac:dyDescent="0.25">
      <c r="A38" s="149"/>
      <c r="B38" s="174" t="str" cm="1">
        <f t="array" aca="1" ref="B38" ca="1">HYPERLINK(CELL("адрес",БДР!$A$1),"Перейти на лист БДР")</f>
        <v>Перейти на лист БДР</v>
      </c>
      <c r="C38" s="407"/>
      <c r="D38" s="149"/>
      <c r="E38" s="71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71"/>
    </row>
    <row r="39" spans="1:17" x14ac:dyDescent="0.25">
      <c r="A39" s="149"/>
      <c r="B39" s="174" t="str" cm="1">
        <f t="array" aca="1" ref="B39" ca="1">HYPERLINK(CELL("адрес",БДДС!$A$1),"Перейти на лист БДДС")</f>
        <v>Перейти на лист БДДС</v>
      </c>
      <c r="C39" s="407"/>
      <c r="D39" s="149"/>
      <c r="E39" s="71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71"/>
    </row>
    <row r="40" spans="1:17" x14ac:dyDescent="0.25">
      <c r="A40" s="149"/>
      <c r="B40" s="174" t="str" cm="1">
        <f t="array" aca="1" ref="B40" ca="1">HYPERLINK(CELL("адрес",Баланс!$A$1),"Перейти на лист Баланс")</f>
        <v>Перейти на лист Баланс</v>
      </c>
      <c r="C40" s="407"/>
      <c r="D40" s="149"/>
      <c r="E40" s="71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71"/>
    </row>
    <row r="41" spans="1:17" x14ac:dyDescent="0.25">
      <c r="A41" s="149"/>
      <c r="B41" s="452" t="str" cm="1">
        <f t="array" aca="1" ref="B41" ca="1">HYPERLINK(CELL("адрес",Дашборд_ИтогТабл!$A$1),"Перейти на лист Дашборд_1")</f>
        <v>Перейти на лист Дашборд_1</v>
      </c>
      <c r="C41" s="407"/>
      <c r="D41" s="149"/>
      <c r="E41" s="71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71"/>
    </row>
    <row r="42" spans="1:17" x14ac:dyDescent="0.25">
      <c r="A42" s="149"/>
      <c r="B42" s="452" t="str" cm="1">
        <f t="array" aca="1" ref="B42" ca="1">HYPERLINK(CELL("адрес",Дашборд_Основной!$A$1),"Перейти на лист Дашборд_Общий")</f>
        <v>Перейти на лист Дашборд_Общий</v>
      </c>
      <c r="C42" s="407"/>
      <c r="D42" s="149"/>
      <c r="E42" s="71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71"/>
    </row>
    <row r="43" spans="1:17" x14ac:dyDescent="0.25">
      <c r="A43" s="149"/>
      <c r="B43" s="452" t="str" cm="1">
        <f t="array" aca="1" ref="B43" ca="1">HYPERLINK(CELL("адрес",Дашборд_налоги!$A$1),"Перейти на лист Дашборд_Налоги")</f>
        <v>Перейти на лист Дашборд_Налоги</v>
      </c>
      <c r="C43" s="407"/>
      <c r="D43" s="149"/>
      <c r="E43" s="71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71"/>
    </row>
    <row r="44" spans="1:17" x14ac:dyDescent="0.25">
      <c r="A44" s="149"/>
      <c r="B44" s="149"/>
      <c r="C44" s="407"/>
      <c r="D44" s="149"/>
      <c r="E44" s="71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71"/>
    </row>
    <row r="45" spans="1:17" x14ac:dyDescent="0.25">
      <c r="A45" s="149"/>
      <c r="B45" s="149"/>
      <c r="C45" s="407"/>
      <c r="D45" s="149"/>
      <c r="E45" s="71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71"/>
    </row>
    <row r="46" spans="1:17" x14ac:dyDescent="0.25">
      <c r="A46" s="149"/>
      <c r="B46" s="149"/>
      <c r="C46" s="407"/>
      <c r="D46" s="149"/>
      <c r="E46" s="71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71"/>
    </row>
    <row r="47" spans="1:17" x14ac:dyDescent="0.25">
      <c r="A47" s="149"/>
      <c r="B47" s="149"/>
      <c r="C47" s="407"/>
      <c r="D47" s="149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71"/>
    </row>
  </sheetData>
  <hyperlinks>
    <hyperlink ref="I1" location="Контроль!A1" display="Контроль!A1" xr:uid="{099A03AF-5646-4A23-8500-D6ECCF36BFCE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5896-97DE-4249-B58D-48BD2FA1C45A}">
  <sheetPr codeName="Лист33">
    <tabColor theme="9" tint="0.59999389629810485"/>
    <outlinePr summaryRight="0"/>
    <pageSetUpPr fitToPage="1"/>
  </sheetPr>
  <dimension ref="A1:AD34"/>
  <sheetViews>
    <sheetView zoomScaleNormal="10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1.855468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 x14ac:dyDescent="0.25">
      <c r="A1" s="693" t="s">
        <v>392</v>
      </c>
      <c r="B1" s="71"/>
      <c r="C1" s="404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91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04"/>
      <c r="D2" s="71"/>
      <c r="E2" s="71"/>
      <c r="F2" s="384">
        <v>1</v>
      </c>
      <c r="G2" s="384">
        <v>2</v>
      </c>
      <c r="H2" s="384">
        <v>3</v>
      </c>
      <c r="I2" s="384">
        <v>4</v>
      </c>
      <c r="J2" s="384">
        <v>5</v>
      </c>
      <c r="K2" s="384">
        <v>6</v>
      </c>
      <c r="L2" s="384">
        <v>7</v>
      </c>
      <c r="M2" s="384">
        <v>8</v>
      </c>
      <c r="N2" s="384">
        <v>9</v>
      </c>
      <c r="O2" s="384">
        <v>10</v>
      </c>
      <c r="P2" s="392"/>
      <c r="Q2" s="159"/>
      <c r="R2" s="392">
        <v>11</v>
      </c>
      <c r="S2" s="384">
        <f>R2+1</f>
        <v>12</v>
      </c>
      <c r="T2" s="384">
        <f>S2+1</f>
        <v>13</v>
      </c>
      <c r="U2" s="384">
        <f t="shared" ref="U2:AA3" si="0">T2+1</f>
        <v>14</v>
      </c>
      <c r="V2" s="384">
        <f t="shared" si="0"/>
        <v>15</v>
      </c>
      <c r="W2" s="384">
        <f t="shared" si="0"/>
        <v>16</v>
      </c>
      <c r="X2" s="384">
        <f t="shared" si="0"/>
        <v>17</v>
      </c>
      <c r="Y2" s="384">
        <f t="shared" si="0"/>
        <v>18</v>
      </c>
      <c r="Z2" s="384">
        <f t="shared" si="0"/>
        <v>19</v>
      </c>
      <c r="AA2" s="384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149"/>
      <c r="B5" s="149"/>
      <c r="C5" s="407"/>
      <c r="D5" s="149"/>
      <c r="E5" s="71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386"/>
      <c r="Q5" s="159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x14ac:dyDescent="0.25">
      <c r="A6" s="609" t="s">
        <v>759</v>
      </c>
      <c r="B6" s="611"/>
      <c r="C6" s="614"/>
      <c r="D6" s="614"/>
      <c r="E6" s="71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71"/>
      <c r="B7" s="71"/>
      <c r="C7" s="404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149"/>
      <c r="B8" s="149"/>
      <c r="C8" s="407"/>
      <c r="D8" s="149"/>
      <c r="E8" s="71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149"/>
      <c r="B9" s="149"/>
      <c r="C9" s="407"/>
      <c r="D9" s="149"/>
      <c r="E9" s="71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149"/>
      <c r="B10" s="149"/>
      <c r="C10" s="407"/>
      <c r="D10" s="149"/>
      <c r="E10" s="71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609" t="s">
        <v>760</v>
      </c>
      <c r="B11" s="611"/>
      <c r="C11" s="614"/>
      <c r="D11" s="614"/>
      <c r="E11" s="71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386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149"/>
      <c r="B12" s="149"/>
      <c r="C12" s="407"/>
      <c r="D12" s="149"/>
      <c r="E12" s="71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38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ht="45" x14ac:dyDescent="0.25">
      <c r="A13" s="149"/>
      <c r="B13" s="178" t="s">
        <v>788</v>
      </c>
      <c r="C13" s="244" t="s">
        <v>19</v>
      </c>
      <c r="D13" s="149"/>
      <c r="E13" s="71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30" x14ac:dyDescent="0.25">
      <c r="A14" s="393" t="str" cm="1">
        <f t="array" aca="1" ref="A14" ca="1">HYPERLINK(CELL("адрес",Макро!$B$55),"источник")</f>
        <v>источник</v>
      </c>
      <c r="B14" s="178" t="s">
        <v>304</v>
      </c>
      <c r="C14" s="191" t="s">
        <v>27</v>
      </c>
      <c r="D14" s="149"/>
      <c r="E14" s="71"/>
      <c r="F14" s="631">
        <f>Макро!F55</f>
        <v>0.02</v>
      </c>
      <c r="G14" s="631">
        <f>Макро!G55</f>
        <v>0.02</v>
      </c>
      <c r="H14" s="631">
        <f>Макро!H55</f>
        <v>0.02</v>
      </c>
      <c r="I14" s="631">
        <f>Макро!I55</f>
        <v>0.02</v>
      </c>
      <c r="J14" s="631">
        <f>Макро!J55</f>
        <v>0.02</v>
      </c>
      <c r="K14" s="631">
        <f>Макро!K55</f>
        <v>0.02</v>
      </c>
      <c r="L14" s="631">
        <f>Макро!L55</f>
        <v>0.02</v>
      </c>
      <c r="M14" s="631">
        <f>Макро!M55</f>
        <v>0.02</v>
      </c>
      <c r="N14" s="631">
        <f>Макро!N55</f>
        <v>0.02</v>
      </c>
      <c r="O14" s="631">
        <f>Макро!O55</f>
        <v>0.02</v>
      </c>
      <c r="P14" s="724"/>
      <c r="Q14" s="632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149"/>
      <c r="B15" s="149" t="s">
        <v>839</v>
      </c>
      <c r="C15" s="244" t="s">
        <v>19</v>
      </c>
      <c r="D15" s="411">
        <f>SUM(F15:O15)</f>
        <v>0</v>
      </c>
      <c r="E15" s="71"/>
      <c r="F15" s="230">
        <f>F13*F10</f>
        <v>0</v>
      </c>
      <c r="G15" s="230">
        <f t="shared" ref="G15:O15" si="2">G13*G10</f>
        <v>0</v>
      </c>
      <c r="H15" s="230">
        <f t="shared" si="2"/>
        <v>0</v>
      </c>
      <c r="I15" s="230">
        <f t="shared" si="2"/>
        <v>0</v>
      </c>
      <c r="J15" s="230">
        <f t="shared" si="2"/>
        <v>0</v>
      </c>
      <c r="K15" s="230">
        <f t="shared" si="2"/>
        <v>0</v>
      </c>
      <c r="L15" s="230">
        <f t="shared" si="2"/>
        <v>0</v>
      </c>
      <c r="M15" s="230">
        <f t="shared" si="2"/>
        <v>0</v>
      </c>
      <c r="N15" s="230">
        <f t="shared" si="2"/>
        <v>0</v>
      </c>
      <c r="O15" s="230">
        <f t="shared" si="2"/>
        <v>0</v>
      </c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149"/>
      <c r="B16" s="149"/>
      <c r="C16" s="407"/>
      <c r="D16" s="149"/>
      <c r="E16" s="71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149"/>
      <c r="B17" s="149"/>
      <c r="C17" s="407"/>
      <c r="D17" s="149"/>
      <c r="E17" s="71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386"/>
      <c r="Q17" s="159"/>
    </row>
    <row r="18" spans="1:17" x14ac:dyDescent="0.25">
      <c r="A18" s="149"/>
      <c r="B18" s="149"/>
      <c r="C18" s="407"/>
      <c r="D18" s="149"/>
      <c r="E18" s="71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386"/>
      <c r="Q18" s="159"/>
    </row>
    <row r="19" spans="1:17" x14ac:dyDescent="0.25">
      <c r="A19" s="149"/>
      <c r="B19" s="149"/>
      <c r="C19" s="407"/>
      <c r="D19" s="149"/>
      <c r="E19" s="71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386"/>
      <c r="Q19" s="159"/>
    </row>
    <row r="20" spans="1:17" x14ac:dyDescent="0.25">
      <c r="A20" s="149"/>
      <c r="B20" s="149"/>
      <c r="C20" s="407"/>
      <c r="D20" s="149"/>
      <c r="E20" s="71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386"/>
      <c r="Q20" s="159"/>
    </row>
    <row r="21" spans="1:17" x14ac:dyDescent="0.25">
      <c r="A21" s="149"/>
      <c r="B21" s="613"/>
      <c r="C21" s="407"/>
      <c r="D21" s="149"/>
      <c r="E21" s="71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386"/>
      <c r="Q21" s="159"/>
    </row>
    <row r="22" spans="1:17" x14ac:dyDescent="0.25">
      <c r="A22" s="149"/>
      <c r="B22" s="174" t="str" cm="1">
        <f t="array" aca="1" ref="B22" ca="1">HYPERLINK(CELL("адрес",БДР!$A$1),"Перейти на лист БДР")</f>
        <v>Перейти на лист БДР</v>
      </c>
      <c r="C22" s="407"/>
      <c r="D22" s="149"/>
      <c r="E22" s="71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386"/>
    </row>
    <row r="23" spans="1:17" x14ac:dyDescent="0.25">
      <c r="A23" s="149"/>
      <c r="B23" s="174" t="str" cm="1">
        <f t="array" aca="1" ref="B23" ca="1">HYPERLINK(CELL("адрес",БДДС!$A$1),"Перейти на лист БДДС")</f>
        <v>Перейти на лист БДДС</v>
      </c>
      <c r="C23" s="407"/>
      <c r="D23" s="149"/>
      <c r="E23" s="71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71"/>
    </row>
    <row r="24" spans="1:17" x14ac:dyDescent="0.25">
      <c r="A24" s="149"/>
      <c r="B24" s="174" t="str" cm="1">
        <f t="array" aca="1" ref="B24" ca="1">HYPERLINK(CELL("адрес",Баланс!$A$1),"Перейти на лист Баланс")</f>
        <v>Перейти на лист Баланс</v>
      </c>
      <c r="C24" s="407"/>
      <c r="D24" s="149"/>
      <c r="E24" s="71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71"/>
    </row>
    <row r="25" spans="1:17" x14ac:dyDescent="0.25">
      <c r="A25" s="149"/>
      <c r="B25" s="452" t="str" cm="1">
        <f t="array" aca="1" ref="B25" ca="1">HYPERLINK(CELL("адрес",Дашборд_ИтогТабл!$A$1),"Перейти на лист Дашборд_1")</f>
        <v>Перейти на лист Дашборд_1</v>
      </c>
      <c r="C25" s="407"/>
      <c r="D25" s="149"/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</row>
    <row r="26" spans="1:17" x14ac:dyDescent="0.25">
      <c r="A26" s="149"/>
      <c r="B26" s="452" t="str" cm="1">
        <f t="array" aca="1" ref="B26" ca="1">HYPERLINK(CELL("адрес",Дашборд_Основной!$A$1),"Перейти на лист Дашборд_Общий")</f>
        <v>Перейти на лист Дашборд_Общий</v>
      </c>
      <c r="C26" s="407"/>
      <c r="D26" s="149"/>
      <c r="E26" s="71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71"/>
    </row>
    <row r="27" spans="1:17" x14ac:dyDescent="0.25">
      <c r="A27" s="149"/>
      <c r="B27" s="452" t="str" cm="1">
        <f t="array" aca="1" ref="B27" ca="1">HYPERLINK(CELL("адрес",Дашборд_налоги!$A$1),"Перейти на лист Дашборд_Налоги")</f>
        <v>Перейти на лист Дашборд_Налоги</v>
      </c>
      <c r="C27" s="407"/>
      <c r="D27" s="149"/>
      <c r="E27" s="7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71"/>
    </row>
    <row r="28" spans="1:17" x14ac:dyDescent="0.25">
      <c r="A28" s="149"/>
      <c r="B28" s="149"/>
      <c r="C28" s="407"/>
      <c r="D28" s="149"/>
      <c r="E28" s="71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71"/>
    </row>
    <row r="29" spans="1:17" x14ac:dyDescent="0.25">
      <c r="A29" s="149"/>
      <c r="B29" s="149"/>
      <c r="C29" s="407"/>
      <c r="D29" s="149"/>
      <c r="E29" s="71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71"/>
    </row>
    <row r="30" spans="1:17" x14ac:dyDescent="0.25">
      <c r="A30" s="149"/>
      <c r="B30" s="149"/>
      <c r="C30" s="407"/>
      <c r="D30" s="149"/>
      <c r="E30" s="71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71"/>
    </row>
    <row r="31" spans="1:17" x14ac:dyDescent="0.25">
      <c r="A31" s="149"/>
      <c r="B31" s="149"/>
      <c r="C31" s="407"/>
      <c r="D31" s="149"/>
      <c r="E31" s="71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71"/>
    </row>
    <row r="32" spans="1:17" x14ac:dyDescent="0.25">
      <c r="A32" s="149"/>
      <c r="B32" s="149"/>
      <c r="C32" s="407"/>
      <c r="D32" s="149"/>
      <c r="E32" s="71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71"/>
    </row>
    <row r="33" spans="1:16" x14ac:dyDescent="0.25">
      <c r="A33" s="149"/>
      <c r="B33" s="149"/>
      <c r="C33" s="407"/>
      <c r="D33" s="149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71"/>
    </row>
    <row r="34" spans="1:16" x14ac:dyDescent="0.25">
      <c r="A34" s="149"/>
      <c r="B34" s="149"/>
      <c r="C34" s="407"/>
      <c r="D34" s="149"/>
      <c r="E34" s="71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71"/>
    </row>
  </sheetData>
  <hyperlinks>
    <hyperlink ref="I1" location="Контроль!A1" display="Контроль!A1" xr:uid="{0E97C7C8-E995-4419-9F76-D40D8C7AE7E1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ED6E-6AAA-440B-859A-CF0224D9BCF1}">
  <sheetPr codeName="Лист25">
    <tabColor theme="9" tint="0.59999389629810485"/>
    <outlinePr summaryRight="0"/>
    <pageSetUpPr fitToPage="1"/>
  </sheetPr>
  <dimension ref="A1:AD59"/>
  <sheetViews>
    <sheetView zoomScale="115" zoomScaleNormal="115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2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 x14ac:dyDescent="0.25">
      <c r="A1" s="693" t="s">
        <v>298</v>
      </c>
      <c r="B1" s="71"/>
      <c r="C1" s="404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91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04"/>
      <c r="D2" s="71"/>
      <c r="E2" s="71"/>
      <c r="F2" s="384">
        <v>1</v>
      </c>
      <c r="G2" s="384">
        <v>2</v>
      </c>
      <c r="H2" s="384">
        <v>3</v>
      </c>
      <c r="I2" s="384">
        <v>4</v>
      </c>
      <c r="J2" s="384">
        <v>5</v>
      </c>
      <c r="K2" s="384">
        <v>6</v>
      </c>
      <c r="L2" s="384">
        <v>7</v>
      </c>
      <c r="M2" s="384">
        <v>8</v>
      </c>
      <c r="N2" s="384">
        <v>9</v>
      </c>
      <c r="O2" s="384">
        <v>10</v>
      </c>
      <c r="P2" s="392"/>
      <c r="Q2" s="159"/>
      <c r="R2" s="392">
        <v>11</v>
      </c>
      <c r="S2" s="384">
        <f>R2+1</f>
        <v>12</v>
      </c>
      <c r="T2" s="384">
        <f>S2+1</f>
        <v>13</v>
      </c>
      <c r="U2" s="384">
        <f t="shared" ref="U2:AA3" si="0">T2+1</f>
        <v>14</v>
      </c>
      <c r="V2" s="384">
        <f t="shared" si="0"/>
        <v>15</v>
      </c>
      <c r="W2" s="384">
        <f t="shared" si="0"/>
        <v>16</v>
      </c>
      <c r="X2" s="384">
        <f t="shared" si="0"/>
        <v>17</v>
      </c>
      <c r="Y2" s="384">
        <f t="shared" si="0"/>
        <v>18</v>
      </c>
      <c r="Z2" s="384">
        <f t="shared" si="0"/>
        <v>19</v>
      </c>
      <c r="AA2" s="384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242"/>
      <c r="B5" s="211"/>
      <c r="C5" s="407"/>
      <c r="D5" s="149"/>
      <c r="E5" s="71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386"/>
      <c r="Q5" s="159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ht="45" x14ac:dyDescent="0.25">
      <c r="A6" s="242"/>
      <c r="B6" s="211" t="s">
        <v>365</v>
      </c>
      <c r="C6" s="244" t="s">
        <v>19</v>
      </c>
      <c r="D6" s="149"/>
      <c r="E6" s="71"/>
      <c r="F6" s="230">
        <v>0</v>
      </c>
      <c r="G6" s="230">
        <f>F7</f>
        <v>18333.333333333332</v>
      </c>
      <c r="H6" s="230">
        <f t="shared" ref="H6:O6" si="2">G7</f>
        <v>45833.333333333328</v>
      </c>
      <c r="I6" s="230">
        <f t="shared" si="2"/>
        <v>43999.999999999993</v>
      </c>
      <c r="J6" s="230">
        <f t="shared" si="2"/>
        <v>42166.666666666657</v>
      </c>
      <c r="K6" s="230">
        <f t="shared" si="2"/>
        <v>40333.333333333321</v>
      </c>
      <c r="L6" s="230">
        <f t="shared" si="2"/>
        <v>38499.999999999985</v>
      </c>
      <c r="M6" s="230">
        <f t="shared" si="2"/>
        <v>36666.66666666665</v>
      </c>
      <c r="N6" s="230">
        <f t="shared" si="2"/>
        <v>34833.333333333314</v>
      </c>
      <c r="O6" s="230">
        <f t="shared" si="2"/>
        <v>32999.999999999978</v>
      </c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45" x14ac:dyDescent="0.25">
      <c r="A7" s="226" t="str" cm="1">
        <f t="array" aca="1" ref="A7" ca="1">HYPERLINK(CELL("адрес",Инвестиции!A28),"источник")</f>
        <v>источник</v>
      </c>
      <c r="B7" s="211" t="s">
        <v>366</v>
      </c>
      <c r="C7" s="244" t="s">
        <v>19</v>
      </c>
      <c r="D7" s="149"/>
      <c r="E7" s="71"/>
      <c r="F7" s="230">
        <f>Инвестиции!F28</f>
        <v>18333.333333333332</v>
      </c>
      <c r="G7" s="230">
        <f>Инвестиции!G28</f>
        <v>45833.333333333328</v>
      </c>
      <c r="H7" s="230">
        <f>Инвестиции!H28</f>
        <v>43999.999999999993</v>
      </c>
      <c r="I7" s="230">
        <f>Инвестиции!I28</f>
        <v>42166.666666666657</v>
      </c>
      <c r="J7" s="230">
        <f>Инвестиции!J28</f>
        <v>40333.333333333321</v>
      </c>
      <c r="K7" s="230">
        <f>Инвестиции!K28</f>
        <v>38499.999999999985</v>
      </c>
      <c r="L7" s="230">
        <f>Инвестиции!L28</f>
        <v>36666.66666666665</v>
      </c>
      <c r="M7" s="230">
        <f>Инвестиции!M28</f>
        <v>34833.333333333314</v>
      </c>
      <c r="N7" s="230">
        <f>Инвестиции!N28</f>
        <v>32999.999999999978</v>
      </c>
      <c r="O7" s="230">
        <f>Инвестиции!O28</f>
        <v>31166.666666666646</v>
      </c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242"/>
      <c r="B8" s="630" t="s">
        <v>305</v>
      </c>
      <c r="C8" s="244" t="s">
        <v>19</v>
      </c>
      <c r="D8" s="411"/>
      <c r="E8" s="71"/>
      <c r="F8" s="411">
        <f>(F6+F7)/2</f>
        <v>9166.6666666666661</v>
      </c>
      <c r="G8" s="411">
        <f>(G6+G7)/2</f>
        <v>32083.333333333328</v>
      </c>
      <c r="H8" s="411">
        <f t="shared" ref="H8:O8" si="3">(H6+H7)/2</f>
        <v>44916.666666666657</v>
      </c>
      <c r="I8" s="411">
        <f t="shared" si="3"/>
        <v>43083.333333333328</v>
      </c>
      <c r="J8" s="411">
        <f t="shared" si="3"/>
        <v>41249.999999999985</v>
      </c>
      <c r="K8" s="411">
        <f t="shared" si="3"/>
        <v>39416.666666666657</v>
      </c>
      <c r="L8" s="411">
        <f t="shared" si="3"/>
        <v>37583.333333333314</v>
      </c>
      <c r="M8" s="411">
        <f t="shared" si="3"/>
        <v>35749.999999999985</v>
      </c>
      <c r="N8" s="411">
        <f t="shared" si="3"/>
        <v>33916.666666666642</v>
      </c>
      <c r="O8" s="411">
        <f t="shared" si="3"/>
        <v>32083.333333333314</v>
      </c>
      <c r="P8" s="385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242"/>
      <c r="B9" s="211"/>
      <c r="C9" s="407"/>
      <c r="D9" s="149"/>
      <c r="E9" s="71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609" t="s">
        <v>759</v>
      </c>
      <c r="B10" s="611"/>
      <c r="C10" s="614"/>
      <c r="D10" s="614"/>
      <c r="E10" s="71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ht="5.65" customHeight="1" x14ac:dyDescent="0.25">
      <c r="A11" s="242"/>
      <c r="B11" s="211"/>
      <c r="C11" s="407"/>
      <c r="D11" s="149"/>
      <c r="E11" s="71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386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226" t="str" cm="1">
        <f t="array" aca="1" ref="A12" ca="1">HYPERLINK(CELL("адрес",Макро!A49),"источник")</f>
        <v>источник</v>
      </c>
      <c r="B12" s="211" t="s">
        <v>299</v>
      </c>
      <c r="C12" s="191" t="s">
        <v>27</v>
      </c>
      <c r="D12" s="149"/>
      <c r="E12" s="71"/>
      <c r="F12" s="631">
        <f>Макро!F49</f>
        <v>2.1999999999999999E-2</v>
      </c>
      <c r="G12" s="631">
        <f>Макро!G49</f>
        <v>2.1999999999999999E-2</v>
      </c>
      <c r="H12" s="631">
        <f>Макро!H49</f>
        <v>2.1999999999999999E-2</v>
      </c>
      <c r="I12" s="631">
        <f>Макро!I49</f>
        <v>2.1999999999999999E-2</v>
      </c>
      <c r="J12" s="631">
        <f>Макро!J49</f>
        <v>2.1999999999999999E-2</v>
      </c>
      <c r="K12" s="631">
        <f>Макро!K49</f>
        <v>2.1999999999999999E-2</v>
      </c>
      <c r="L12" s="631">
        <f>Макро!L49</f>
        <v>2.1999999999999999E-2</v>
      </c>
      <c r="M12" s="631">
        <f>Макро!M49</f>
        <v>2.1999999999999999E-2</v>
      </c>
      <c r="N12" s="631">
        <f>Макро!N49</f>
        <v>2.1999999999999999E-2</v>
      </c>
      <c r="O12" s="631">
        <f>Макро!O49</f>
        <v>2.1999999999999999E-2</v>
      </c>
      <c r="P12" s="724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ht="42.75" x14ac:dyDescent="0.25">
      <c r="A13" s="242"/>
      <c r="B13" s="630" t="s">
        <v>619</v>
      </c>
      <c r="C13" s="244" t="s">
        <v>19</v>
      </c>
      <c r="D13" s="411">
        <f>SUM(F13:O13)</f>
        <v>7683.4999999999973</v>
      </c>
      <c r="E13" s="71"/>
      <c r="F13" s="230">
        <f>F8*F12</f>
        <v>201.66666666666663</v>
      </c>
      <c r="G13" s="230">
        <f t="shared" ref="G13:O13" si="4">G8*G12</f>
        <v>705.83333333333314</v>
      </c>
      <c r="H13" s="230">
        <f t="shared" si="4"/>
        <v>988.1666666666664</v>
      </c>
      <c r="I13" s="230">
        <f t="shared" si="4"/>
        <v>947.83333333333314</v>
      </c>
      <c r="J13" s="230">
        <f t="shared" si="4"/>
        <v>907.49999999999966</v>
      </c>
      <c r="K13" s="230">
        <f t="shared" si="4"/>
        <v>867.1666666666664</v>
      </c>
      <c r="L13" s="230">
        <f t="shared" si="4"/>
        <v>826.8333333333328</v>
      </c>
      <c r="M13" s="230">
        <f t="shared" si="4"/>
        <v>786.49999999999966</v>
      </c>
      <c r="N13" s="230">
        <f t="shared" si="4"/>
        <v>746.16666666666606</v>
      </c>
      <c r="O13" s="230">
        <f t="shared" si="4"/>
        <v>705.83333333333292</v>
      </c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242"/>
      <c r="B14" s="630"/>
      <c r="C14" s="244"/>
      <c r="D14" s="411"/>
      <c r="E14" s="71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242"/>
      <c r="B15" s="211"/>
      <c r="C15" s="407"/>
      <c r="D15" s="149"/>
      <c r="E15" s="71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609" t="s">
        <v>760</v>
      </c>
      <c r="B16" s="611"/>
      <c r="C16" s="614"/>
      <c r="D16" s="614"/>
      <c r="E16" s="71"/>
      <c r="F16" s="469"/>
      <c r="G16" s="469"/>
      <c r="H16" s="469"/>
      <c r="I16" s="469"/>
      <c r="J16" s="469"/>
      <c r="K16" s="469"/>
      <c r="L16" s="469"/>
      <c r="M16" s="469"/>
      <c r="N16" s="469"/>
      <c r="O16" s="469"/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7.15" customHeight="1" x14ac:dyDescent="0.25">
      <c r="A17" s="242"/>
      <c r="B17" s="211"/>
      <c r="C17" s="407"/>
      <c r="D17" s="149"/>
      <c r="E17" s="71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386"/>
      <c r="Q17" s="159"/>
    </row>
    <row r="18" spans="1:17" ht="30" x14ac:dyDescent="0.25">
      <c r="A18" s="226" t="str" cm="1">
        <f t="array" aca="1" ref="A18" ca="1">HYPERLINK(CELL("адрес",Макро!A50),"источник")</f>
        <v>источник</v>
      </c>
      <c r="B18" s="211" t="s">
        <v>306</v>
      </c>
      <c r="C18" s="191" t="s">
        <v>27</v>
      </c>
      <c r="D18" s="149"/>
      <c r="E18" s="71"/>
      <c r="F18" s="631">
        <f>Макро!F50</f>
        <v>0</v>
      </c>
      <c r="G18" s="631">
        <f>Макро!G50</f>
        <v>0</v>
      </c>
      <c r="H18" s="631">
        <f>Макро!H50</f>
        <v>0</v>
      </c>
      <c r="I18" s="631">
        <f>Макро!I50</f>
        <v>0</v>
      </c>
      <c r="J18" s="631">
        <f>Макро!J50</f>
        <v>0</v>
      </c>
      <c r="K18" s="631">
        <f>Макро!K50</f>
        <v>0</v>
      </c>
      <c r="L18" s="631">
        <f>Макро!L50</f>
        <v>0</v>
      </c>
      <c r="M18" s="631">
        <f>Макро!M50</f>
        <v>0</v>
      </c>
      <c r="N18" s="631">
        <f>Макро!N50</f>
        <v>0</v>
      </c>
      <c r="O18" s="631">
        <f>Макро!O50</f>
        <v>0</v>
      </c>
      <c r="P18" s="724"/>
      <c r="Q18" s="159"/>
    </row>
    <row r="19" spans="1:17" ht="42.75" x14ac:dyDescent="0.25">
      <c r="A19" s="242"/>
      <c r="B19" s="630" t="s">
        <v>620</v>
      </c>
      <c r="C19" s="407"/>
      <c r="D19" s="411">
        <f>SUM(F19:O19)</f>
        <v>0</v>
      </c>
      <c r="E19" s="71"/>
      <c r="F19" s="230">
        <f>F8*F18</f>
        <v>0</v>
      </c>
      <c r="G19" s="230">
        <f t="shared" ref="G19:O19" si="5">G8*G18</f>
        <v>0</v>
      </c>
      <c r="H19" s="230">
        <f t="shared" si="5"/>
        <v>0</v>
      </c>
      <c r="I19" s="230">
        <f t="shared" si="5"/>
        <v>0</v>
      </c>
      <c r="J19" s="230">
        <f t="shared" si="5"/>
        <v>0</v>
      </c>
      <c r="K19" s="230">
        <f t="shared" si="5"/>
        <v>0</v>
      </c>
      <c r="L19" s="230">
        <f t="shared" si="5"/>
        <v>0</v>
      </c>
      <c r="M19" s="230">
        <f t="shared" si="5"/>
        <v>0</v>
      </c>
      <c r="N19" s="230">
        <f t="shared" si="5"/>
        <v>0</v>
      </c>
      <c r="O19" s="230">
        <f t="shared" si="5"/>
        <v>0</v>
      </c>
      <c r="P19" s="386"/>
      <c r="Q19" s="159"/>
    </row>
    <row r="20" spans="1:17" x14ac:dyDescent="0.25">
      <c r="A20" s="242"/>
      <c r="B20" s="149"/>
      <c r="C20" s="407"/>
      <c r="D20" s="149"/>
      <c r="E20" s="71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386"/>
      <c r="Q20" s="159"/>
    </row>
    <row r="21" spans="1:17" ht="28.5" x14ac:dyDescent="0.25">
      <c r="A21" s="149"/>
      <c r="B21" s="630" t="s">
        <v>307</v>
      </c>
      <c r="C21" s="407"/>
      <c r="D21" s="411">
        <f>SUM(F21:O21)</f>
        <v>7683.4999999999973</v>
      </c>
      <c r="E21" s="71"/>
      <c r="F21" s="230">
        <f>F13-F19</f>
        <v>201.66666666666663</v>
      </c>
      <c r="G21" s="230">
        <f t="shared" ref="G21:O21" si="6">G13-G19</f>
        <v>705.83333333333314</v>
      </c>
      <c r="H21" s="230">
        <f t="shared" si="6"/>
        <v>988.1666666666664</v>
      </c>
      <c r="I21" s="230">
        <f t="shared" si="6"/>
        <v>947.83333333333314</v>
      </c>
      <c r="J21" s="230">
        <f t="shared" si="6"/>
        <v>907.49999999999966</v>
      </c>
      <c r="K21" s="230">
        <f t="shared" si="6"/>
        <v>867.1666666666664</v>
      </c>
      <c r="L21" s="230">
        <f t="shared" si="6"/>
        <v>826.8333333333328</v>
      </c>
      <c r="M21" s="230">
        <f t="shared" si="6"/>
        <v>786.49999999999966</v>
      </c>
      <c r="N21" s="230">
        <f t="shared" si="6"/>
        <v>746.16666666666606</v>
      </c>
      <c r="O21" s="230">
        <f t="shared" si="6"/>
        <v>705.83333333333292</v>
      </c>
      <c r="P21" s="386"/>
      <c r="Q21" s="159"/>
    </row>
    <row r="22" spans="1:17" x14ac:dyDescent="0.25">
      <c r="A22" s="149"/>
      <c r="B22" s="149"/>
      <c r="C22" s="407"/>
      <c r="D22" s="149"/>
      <c r="E22" s="71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386"/>
      <c r="Q22" s="159"/>
    </row>
    <row r="23" spans="1:17" x14ac:dyDescent="0.25">
      <c r="A23" s="149"/>
      <c r="B23" s="613"/>
      <c r="C23" s="407"/>
      <c r="D23" s="149"/>
      <c r="E23" s="71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386"/>
      <c r="Q23" s="159"/>
    </row>
    <row r="24" spans="1:17" x14ac:dyDescent="0.25">
      <c r="A24" s="149"/>
      <c r="B24" s="613"/>
      <c r="C24" s="407"/>
      <c r="D24" s="149"/>
      <c r="E24" s="71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386"/>
    </row>
    <row r="25" spans="1:17" x14ac:dyDescent="0.25">
      <c r="A25" s="149"/>
      <c r="B25" s="174" t="str" cm="1">
        <f t="array" aca="1" ref="B25" ca="1">HYPERLINK(CELL("адрес",БДР!$A$1),"Перейти на лист БДР")</f>
        <v>Перейти на лист БДР</v>
      </c>
      <c r="C25" s="407"/>
      <c r="D25" s="149"/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</row>
    <row r="26" spans="1:17" x14ac:dyDescent="0.25">
      <c r="A26" s="149"/>
      <c r="B26" s="174" t="str" cm="1">
        <f t="array" aca="1" ref="B26" ca="1">HYPERLINK(CELL("адрес",БДДС!$A$1),"Перейти на лист БДДС")</f>
        <v>Перейти на лист БДДС</v>
      </c>
      <c r="C26" s="407"/>
      <c r="D26" s="149"/>
      <c r="E26" s="71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71"/>
    </row>
    <row r="27" spans="1:17" x14ac:dyDescent="0.25">
      <c r="A27" s="149"/>
      <c r="B27" s="174" t="str" cm="1">
        <f t="array" aca="1" ref="B27" ca="1">HYPERLINK(CELL("адрес",Баланс!$A$1),"Перейти на лист Баланс")</f>
        <v>Перейти на лист Баланс</v>
      </c>
      <c r="C27" s="407"/>
      <c r="D27" s="149"/>
      <c r="E27" s="7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71"/>
    </row>
    <row r="28" spans="1:17" x14ac:dyDescent="0.25">
      <c r="A28" s="149"/>
      <c r="B28" s="452" t="str" cm="1">
        <f t="array" aca="1" ref="B28" ca="1">HYPERLINK(CELL("адрес",Дашборд_ИтогТабл!$A$1),"Перейти на лист Дашборд_1")</f>
        <v>Перейти на лист Дашборд_1</v>
      </c>
      <c r="C28" s="407"/>
      <c r="D28" s="149"/>
      <c r="E28" s="71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71"/>
    </row>
    <row r="29" spans="1:17" x14ac:dyDescent="0.25">
      <c r="A29" s="149"/>
      <c r="B29" s="452" t="str" cm="1">
        <f t="array" aca="1" ref="B29" ca="1">HYPERLINK(CELL("адрес",Дашборд_Основной!$A$1),"Перейти на лист Дашборд_Общий")</f>
        <v>Перейти на лист Дашборд_Общий</v>
      </c>
      <c r="C29" s="407"/>
      <c r="D29" s="149"/>
      <c r="E29" s="71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71"/>
    </row>
    <row r="30" spans="1:17" x14ac:dyDescent="0.25">
      <c r="A30" s="149"/>
      <c r="B30" s="452" t="str" cm="1">
        <f t="array" aca="1" ref="B30" ca="1">HYPERLINK(CELL("адрес",Дашборд_налоги!$A$1),"Перейти на лист Дашборд_Налоги")</f>
        <v>Перейти на лист Дашборд_Налоги</v>
      </c>
      <c r="C30" s="407"/>
      <c r="D30" s="149"/>
      <c r="E30" s="71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71"/>
    </row>
    <row r="31" spans="1:17" x14ac:dyDescent="0.25">
      <c r="A31" s="149"/>
      <c r="B31" s="149"/>
      <c r="C31" s="407"/>
      <c r="D31" s="149"/>
      <c r="E31" s="71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71"/>
    </row>
    <row r="32" spans="1:17" x14ac:dyDescent="0.25">
      <c r="A32" s="149"/>
      <c r="B32" s="149"/>
      <c r="C32" s="407"/>
      <c r="D32" s="149"/>
      <c r="E32" s="71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71"/>
    </row>
    <row r="33" spans="1:16" x14ac:dyDescent="0.25">
      <c r="A33" s="149"/>
      <c r="B33" s="149"/>
      <c r="C33" s="407"/>
      <c r="D33" s="149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71"/>
    </row>
    <row r="34" spans="1:16" x14ac:dyDescent="0.25">
      <c r="A34" s="149"/>
      <c r="B34" s="149"/>
      <c r="C34" s="407"/>
      <c r="D34" s="149"/>
      <c r="E34" s="71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71"/>
    </row>
    <row r="35" spans="1:16" x14ac:dyDescent="0.25">
      <c r="A35" s="149"/>
      <c r="B35" s="149"/>
      <c r="C35" s="407"/>
      <c r="D35" s="149"/>
      <c r="E35" s="71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71"/>
    </row>
    <row r="36" spans="1:16" x14ac:dyDescent="0.25">
      <c r="A36" s="149"/>
      <c r="B36" s="149"/>
      <c r="C36" s="407"/>
      <c r="D36" s="149"/>
      <c r="E36" s="71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71"/>
    </row>
    <row r="59" spans="3:18" x14ac:dyDescent="0.25">
      <c r="C59" s="404">
        <f>ROUND(НалИмущество!$D$19/1000,0)</f>
        <v>0</v>
      </c>
      <c r="D59" s="71">
        <f>ROUND(НалИмущество!$D$21/1000,0)</f>
        <v>8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 t="str" cm="1">
        <f t="array" aca="1" ref="Q59" ca="1">HYPERLINK(CELL("адрес",НалИмущество!B19),"перейти")</f>
        <v>перейти</v>
      </c>
      <c r="R59" s="71" t="str" cm="1">
        <f t="array" aca="1" ref="R59" ca="1">HYPERLINK(CELL("адрес",НалИмущество!B21),"перейти")</f>
        <v>перейти</v>
      </c>
    </row>
  </sheetData>
  <hyperlinks>
    <hyperlink ref="I1" location="Контроль!A1" display="Контроль!A1" xr:uid="{6405F0E7-5DEF-4EFD-B013-F214770EFB70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2A9F7-3771-4755-90F0-32AC22EA1803}">
  <sheetPr codeName="Лист34">
    <tabColor theme="9" tint="0.59999389629810485"/>
    <outlinePr summaryRight="0"/>
    <pageSetUpPr fitToPage="1"/>
  </sheetPr>
  <dimension ref="A1:AD23"/>
  <sheetViews>
    <sheetView zoomScaleNormal="100" workbookViewId="0">
      <pane xSplit="4" ySplit="4" topLeftCell="E5" activePane="bottomRight" state="frozen"/>
      <selection activeCell="P53" sqref="P53"/>
      <selection pane="topRight" activeCell="P53" sqref="P53"/>
      <selection pane="bottomLeft" activeCell="P53" sqref="P53"/>
      <selection pane="bottomRight"/>
    </sheetView>
  </sheetViews>
  <sheetFormatPr defaultRowHeight="15" outlineLevelCol="1" x14ac:dyDescent="0.25"/>
  <cols>
    <col min="1" max="1" width="11.5703125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2.285156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32.25" x14ac:dyDescent="0.25">
      <c r="A1" s="693" t="s">
        <v>690</v>
      </c>
      <c r="B1" s="225"/>
      <c r="C1" s="404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91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04"/>
      <c r="D2" s="71"/>
      <c r="E2" s="71"/>
      <c r="F2" s="384">
        <v>1</v>
      </c>
      <c r="G2" s="384">
        <v>2</v>
      </c>
      <c r="H2" s="384">
        <v>3</v>
      </c>
      <c r="I2" s="384">
        <v>4</v>
      </c>
      <c r="J2" s="384">
        <v>5</v>
      </c>
      <c r="K2" s="384">
        <v>6</v>
      </c>
      <c r="L2" s="384">
        <v>7</v>
      </c>
      <c r="M2" s="384">
        <v>8</v>
      </c>
      <c r="N2" s="384">
        <v>9</v>
      </c>
      <c r="O2" s="384">
        <v>10</v>
      </c>
      <c r="P2" s="392"/>
      <c r="Q2" s="159"/>
      <c r="R2" s="392">
        <v>11</v>
      </c>
      <c r="S2" s="384">
        <f>R2+1</f>
        <v>12</v>
      </c>
      <c r="T2" s="384">
        <f>S2+1</f>
        <v>13</v>
      </c>
      <c r="U2" s="384">
        <f t="shared" ref="U2:AA3" si="0">T2+1</f>
        <v>14</v>
      </c>
      <c r="V2" s="384">
        <f t="shared" si="0"/>
        <v>15</v>
      </c>
      <c r="W2" s="384">
        <f t="shared" si="0"/>
        <v>16</v>
      </c>
      <c r="X2" s="384">
        <f t="shared" si="0"/>
        <v>17</v>
      </c>
      <c r="Y2" s="384">
        <f t="shared" si="0"/>
        <v>18</v>
      </c>
      <c r="Z2" s="384">
        <f t="shared" si="0"/>
        <v>19</v>
      </c>
      <c r="AA2" s="384">
        <f t="shared" si="0"/>
        <v>20</v>
      </c>
      <c r="AB2" s="71"/>
      <c r="AC2" s="71"/>
      <c r="AD2" s="71"/>
    </row>
    <row r="3" spans="1:30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242"/>
      <c r="B5" s="211"/>
      <c r="C5" s="407"/>
      <c r="D5" s="149"/>
      <c r="E5" s="71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386"/>
      <c r="Q5" s="159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</row>
    <row r="6" spans="1:30" x14ac:dyDescent="0.25">
      <c r="A6" s="609" t="s">
        <v>759</v>
      </c>
      <c r="B6" s="611"/>
      <c r="C6" s="614"/>
      <c r="D6" s="614"/>
      <c r="E6" s="71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38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149"/>
      <c r="B7" s="149"/>
      <c r="C7" s="407"/>
      <c r="D7" s="149"/>
      <c r="E7" s="71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149"/>
      <c r="B8" s="149"/>
      <c r="C8" s="407"/>
      <c r="D8" s="149"/>
      <c r="E8" s="71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x14ac:dyDescent="0.25">
      <c r="A9" s="149"/>
      <c r="B9" s="149"/>
      <c r="C9" s="407"/>
      <c r="D9" s="149"/>
      <c r="E9" s="71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149"/>
      <c r="B10" s="149"/>
      <c r="C10" s="407"/>
      <c r="D10" s="149"/>
      <c r="E10" s="71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386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149"/>
      <c r="B11" s="149"/>
      <c r="C11" s="407"/>
      <c r="D11" s="149"/>
      <c r="E11" s="71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386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x14ac:dyDescent="0.25">
      <c r="A12" s="149"/>
      <c r="B12" s="149"/>
      <c r="C12" s="407"/>
      <c r="D12" s="149"/>
      <c r="E12" s="71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38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609" t="s">
        <v>760</v>
      </c>
      <c r="B13" s="611"/>
      <c r="C13" s="614"/>
      <c r="D13" s="614"/>
      <c r="E13" s="71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x14ac:dyDescent="0.25">
      <c r="A14" s="149"/>
      <c r="B14" s="149"/>
      <c r="C14" s="407"/>
      <c r="D14" s="149"/>
      <c r="E14" s="71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x14ac:dyDescent="0.25">
      <c r="A15" s="149"/>
      <c r="B15" s="575"/>
      <c r="C15" s="407"/>
      <c r="D15" s="149"/>
      <c r="E15" s="71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x14ac:dyDescent="0.25">
      <c r="A16" s="149"/>
      <c r="B16" s="452"/>
      <c r="C16" s="407"/>
      <c r="D16" s="149"/>
      <c r="E16" s="71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x14ac:dyDescent="0.25">
      <c r="A17" s="149"/>
      <c r="B17" s="452"/>
      <c r="C17" s="407"/>
      <c r="D17" s="149"/>
      <c r="E17" s="71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386"/>
      <c r="Q17" s="71"/>
    </row>
    <row r="18" spans="1:17" x14ac:dyDescent="0.25">
      <c r="A18" s="149"/>
      <c r="B18" s="174" t="str" cm="1">
        <f t="array" aca="1" ref="B18" ca="1">HYPERLINK(CELL("адрес",БДР!$A$1),"Перейти на лист БДР")</f>
        <v>Перейти на лист БДР</v>
      </c>
      <c r="C18" s="407"/>
      <c r="D18" s="149"/>
      <c r="E18" s="71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71"/>
      <c r="Q18" s="71"/>
    </row>
    <row r="19" spans="1:17" x14ac:dyDescent="0.25">
      <c r="A19" s="149"/>
      <c r="B19" s="174" t="str" cm="1">
        <f t="array" aca="1" ref="B19" ca="1">HYPERLINK(CELL("адрес",БДДС!$A$1),"Перейти на лист БДДС")</f>
        <v>Перейти на лист БДДС</v>
      </c>
      <c r="C19" s="407"/>
      <c r="D19" s="149"/>
      <c r="E19" s="71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71"/>
      <c r="Q19" s="71"/>
    </row>
    <row r="20" spans="1:17" x14ac:dyDescent="0.25">
      <c r="A20" s="149"/>
      <c r="B20" s="174" t="str" cm="1">
        <f t="array" aca="1" ref="B20" ca="1">HYPERLINK(CELL("адрес",Баланс!$A$1),"Перейти на лист Баланс")</f>
        <v>Перейти на лист Баланс</v>
      </c>
      <c r="C20" s="407"/>
      <c r="D20" s="149"/>
      <c r="E20" s="71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71"/>
      <c r="Q20" s="71"/>
    </row>
    <row r="21" spans="1:17" x14ac:dyDescent="0.25">
      <c r="A21" s="149"/>
      <c r="B21" s="174" t="str" cm="1">
        <f t="array" aca="1" ref="B21" ca="1">HYPERLINK(CELL("адрес",Дашборд_ИтогТабл!$A$1),"Перейти на лист Дашборд_1")</f>
        <v>Перейти на лист Дашборд_1</v>
      </c>
      <c r="C21" s="407"/>
      <c r="D21" s="149"/>
      <c r="E21" s="71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71"/>
      <c r="Q21" s="71"/>
    </row>
    <row r="22" spans="1:17" ht="30" x14ac:dyDescent="0.25">
      <c r="A22" s="149"/>
      <c r="B22" s="174" t="str" cm="1">
        <f t="array" aca="1" ref="B22" ca="1">HYPERLINK(CELL("адрес",Дашборд_Основной!$A$1),"Перейти на лист Дашборд_Общий")</f>
        <v>Перейти на лист Дашборд_Общий</v>
      </c>
      <c r="C22" s="407"/>
      <c r="D22" s="149"/>
      <c r="E22" s="71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71"/>
      <c r="Q22" s="71"/>
    </row>
    <row r="23" spans="1:17" ht="30" x14ac:dyDescent="0.25">
      <c r="A23" s="149"/>
      <c r="B23" s="174" t="str" cm="1">
        <f t="array" aca="1" ref="B23" ca="1">HYPERLINK(CELL("адрес",Дашборд_налоги!$A$1),"Перейти на лист Дашборд_Налоги")</f>
        <v>Перейти на лист Дашборд_Налоги</v>
      </c>
      <c r="C23" s="407"/>
      <c r="D23" s="149"/>
      <c r="E23" s="71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71"/>
      <c r="Q23" s="71"/>
    </row>
  </sheetData>
  <hyperlinks>
    <hyperlink ref="I1" location="Контроль!A1" display="Контроль!A1" xr:uid="{4B2A36C9-61CB-422E-9038-886AA1C42EDA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E892-67C3-4F4D-A6B1-DFCC6D78BF85}">
  <sheetPr codeName="Лист35">
    <tabColor theme="7" tint="0.39997558519241921"/>
    <outlinePr summaryRight="0"/>
    <pageSetUpPr fitToPage="1"/>
  </sheetPr>
  <dimension ref="A1:AA56"/>
  <sheetViews>
    <sheetView zoomScale="115" zoomScaleNormal="115" workbookViewId="0">
      <pane xSplit="4" ySplit="4" topLeftCell="E5" activePane="bottomRight" state="frozen"/>
      <selection activeCell="I1" sqref="I1"/>
      <selection pane="topRight" activeCell="I1" sqref="I1"/>
      <selection pane="bottomLeft" activeCell="I1" sqref="I1"/>
      <selection pane="bottomRight" activeCell="D14" sqref="D14"/>
    </sheetView>
  </sheetViews>
  <sheetFormatPr defaultRowHeight="15" outlineLevelCol="1" x14ac:dyDescent="0.25"/>
  <cols>
    <col min="1" max="1" width="11.5703125" customWidth="1"/>
    <col min="2" max="2" width="27.7109375" style="2" customWidth="1"/>
    <col min="3" max="3" width="11" style="5" customWidth="1"/>
    <col min="4" max="4" width="11" customWidth="1"/>
    <col min="5" max="5" width="2.28515625" customWidth="1"/>
    <col min="16" max="16" width="1.8554687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27" ht="25.5" x14ac:dyDescent="0.25">
      <c r="A1" s="693" t="s">
        <v>367</v>
      </c>
      <c r="B1" s="167"/>
      <c r="C1" s="189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</row>
    <row r="2" spans="1:27" x14ac:dyDescent="0.25">
      <c r="A2" s="71" t="str">
        <f>Паспорт_ФМ_резидент!B7</f>
        <v>Название инвест. проект 01</v>
      </c>
      <c r="B2" s="167"/>
      <c r="C2" s="189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</row>
    <row r="3" spans="1:27" s="18" customFormat="1" ht="28.5" x14ac:dyDescent="0.25">
      <c r="A3" s="78" t="s">
        <v>2</v>
      </c>
      <c r="B3" s="92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</row>
    <row r="4" spans="1:27" ht="8.1" customHeight="1" x14ac:dyDescent="0.25">
      <c r="A4" s="128"/>
      <c r="B4" s="264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1:27" x14ac:dyDescent="0.25">
      <c r="A5" s="257" t="s">
        <v>174</v>
      </c>
      <c r="B5" s="92"/>
      <c r="C5" s="78"/>
      <c r="D5" s="78"/>
      <c r="E5" s="71"/>
      <c r="F5" s="78"/>
      <c r="G5" s="78"/>
      <c r="H5" s="78"/>
      <c r="I5" s="78"/>
      <c r="J5" s="78"/>
      <c r="K5" s="78"/>
      <c r="L5" s="78"/>
      <c r="M5" s="78"/>
      <c r="N5" s="78"/>
      <c r="O5" s="78"/>
      <c r="P5" s="672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</row>
    <row r="6" spans="1:27" ht="29.25" x14ac:dyDescent="0.25">
      <c r="A6" s="258" t="s">
        <v>178</v>
      </c>
      <c r="B6" s="183" t="str">
        <f ca="1">CONCATENATE("DCF 10 лет при ставке дисконтирования ",ROUND(D11*100,2),"%")</f>
        <v>DCF 10 лет при ставке дисконтирования 11,36%</v>
      </c>
      <c r="C6" s="270" t="s">
        <v>19</v>
      </c>
      <c r="D6" s="274">
        <f ca="1">XNPV(D11,F31:O31,F28:O28)</f>
        <v>70045.74511034225</v>
      </c>
      <c r="E6" s="71"/>
      <c r="F6" s="250">
        <f ca="1">XNPV($D$11,$F$31:F31,$F$28:F28)</f>
        <v>-25623.082666666665</v>
      </c>
      <c r="G6" s="250">
        <f ca="1">XNPV($D$11,$F$31:G31,$F$28:G28)</f>
        <v>-87720.35812363078</v>
      </c>
      <c r="H6" s="250">
        <f ca="1">XNPV($D$11,$F$31:H31,$F$28:H28)</f>
        <v>-101210.40992189344</v>
      </c>
      <c r="I6" s="250">
        <f ca="1">XNPV($D$11,$F$31:I31,$F$28:I28)</f>
        <v>-74831.758038272252</v>
      </c>
      <c r="J6" s="250">
        <f ca="1">XNPV($D$11,$F$31:J31,$F$28:J28)</f>
        <v>-48928.245808222819</v>
      </c>
      <c r="K6" s="250">
        <f ca="1">XNPV($D$11,$F$31:K31,$F$28:K28)</f>
        <v>-23617.530058541306</v>
      </c>
      <c r="L6" s="250">
        <f ca="1">XNPV($D$11,$F$31:L31,$F$28:L28)</f>
        <v>1054.9664484696186</v>
      </c>
      <c r="M6" s="250">
        <f ca="1">XNPV($D$11,$F$31:M31,$F$28:M28)</f>
        <v>24925.041497787577</v>
      </c>
      <c r="N6" s="250">
        <f ca="1">XNPV($D$11,$F$31:N31,$F$28:N28)</f>
        <v>48026.979244103422</v>
      </c>
      <c r="O6" s="250">
        <f ca="1">XNPV($D$11,$F$31:O31,$F$28:O28)</f>
        <v>70045.74511034225</v>
      </c>
      <c r="P6" s="386"/>
      <c r="Q6" s="159"/>
      <c r="R6" s="164"/>
      <c r="S6" s="164"/>
      <c r="T6" s="164"/>
      <c r="U6" s="164"/>
      <c r="V6" s="164"/>
      <c r="W6" s="164"/>
      <c r="X6" s="164"/>
      <c r="Y6" s="164"/>
      <c r="Z6" s="164"/>
      <c r="AA6" s="164"/>
    </row>
    <row r="7" spans="1:27" x14ac:dyDescent="0.25">
      <c r="A7" s="259"/>
      <c r="B7" s="183" t="s">
        <v>694</v>
      </c>
      <c r="C7" s="271" t="s">
        <v>131</v>
      </c>
      <c r="D7" s="275">
        <f ca="1">SUM(F7:O7)+1</f>
        <v>6</v>
      </c>
      <c r="E7" s="71"/>
      <c r="F7" s="17">
        <f t="shared" ref="F7:O7" ca="1" si="2">IF(F32&lt;0,1,0)</f>
        <v>1</v>
      </c>
      <c r="G7" s="17">
        <f t="shared" ca="1" si="2"/>
        <v>1</v>
      </c>
      <c r="H7" s="17">
        <f t="shared" ca="1" si="2"/>
        <v>1</v>
      </c>
      <c r="I7" s="17">
        <f t="shared" ca="1" si="2"/>
        <v>1</v>
      </c>
      <c r="J7" s="17">
        <f t="shared" ca="1" si="2"/>
        <v>1</v>
      </c>
      <c r="K7" s="17">
        <f t="shared" ca="1" si="2"/>
        <v>0</v>
      </c>
      <c r="L7" s="17">
        <f t="shared" ca="1" si="2"/>
        <v>0</v>
      </c>
      <c r="M7" s="17">
        <f t="shared" ca="1" si="2"/>
        <v>0</v>
      </c>
      <c r="N7" s="17">
        <f t="shared" ca="1" si="2"/>
        <v>0</v>
      </c>
      <c r="O7" s="17">
        <f t="shared" ca="1" si="2"/>
        <v>0</v>
      </c>
      <c r="P7" s="17"/>
      <c r="Q7" s="159"/>
      <c r="R7" s="164"/>
      <c r="S7" s="164"/>
      <c r="T7" s="164"/>
      <c r="U7" s="164"/>
      <c r="V7" s="164"/>
      <c r="W7" s="164"/>
      <c r="X7" s="164"/>
      <c r="Y7" s="164"/>
      <c r="Z7" s="164"/>
      <c r="AA7" s="164"/>
    </row>
    <row r="8" spans="1:27" ht="29.25" x14ac:dyDescent="0.25">
      <c r="A8" s="259"/>
      <c r="B8" s="183" t="s">
        <v>695</v>
      </c>
      <c r="C8" s="271" t="s">
        <v>131</v>
      </c>
      <c r="D8" s="275">
        <f ca="1">SUM(F8:O8)+1</f>
        <v>7</v>
      </c>
      <c r="E8" s="71"/>
      <c r="F8" s="17">
        <f t="shared" ref="F8:O8" ca="1" si="3">IF(F6&lt;0,1,0)</f>
        <v>1</v>
      </c>
      <c r="G8" s="17">
        <f t="shared" ca="1" si="3"/>
        <v>1</v>
      </c>
      <c r="H8" s="17">
        <f t="shared" ca="1" si="3"/>
        <v>1</v>
      </c>
      <c r="I8" s="17">
        <f t="shared" ca="1" si="3"/>
        <v>1</v>
      </c>
      <c r="J8" s="17">
        <f t="shared" ca="1" si="3"/>
        <v>1</v>
      </c>
      <c r="K8" s="17">
        <f t="shared" ca="1" si="3"/>
        <v>1</v>
      </c>
      <c r="L8" s="17">
        <f t="shared" ca="1" si="3"/>
        <v>0</v>
      </c>
      <c r="M8" s="17">
        <f t="shared" ca="1" si="3"/>
        <v>0</v>
      </c>
      <c r="N8" s="17">
        <f t="shared" ca="1" si="3"/>
        <v>0</v>
      </c>
      <c r="O8" s="17">
        <f t="shared" ca="1" si="3"/>
        <v>0</v>
      </c>
      <c r="P8" s="17"/>
      <c r="Q8" s="159"/>
      <c r="R8" s="164"/>
      <c r="S8" s="164"/>
      <c r="T8" s="164"/>
      <c r="U8" s="164"/>
      <c r="V8" s="164"/>
      <c r="W8" s="164"/>
      <c r="X8" s="164"/>
      <c r="Y8" s="164"/>
      <c r="Z8" s="164"/>
      <c r="AA8" s="164"/>
    </row>
    <row r="9" spans="1:27" ht="43.5" x14ac:dyDescent="0.25">
      <c r="A9" s="258" t="s">
        <v>180</v>
      </c>
      <c r="B9" s="183" t="s">
        <v>696</v>
      </c>
      <c r="C9" s="271" t="s">
        <v>27</v>
      </c>
      <c r="D9" s="276">
        <f ca="1">XIRR(F31:O31,F28:O28)</f>
        <v>0.24218067526817319</v>
      </c>
      <c r="E9" s="7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672"/>
      <c r="Q9" s="159"/>
      <c r="R9" s="164"/>
      <c r="S9" s="164"/>
      <c r="T9" s="164"/>
      <c r="U9" s="164"/>
      <c r="V9" s="164"/>
      <c r="W9" s="164"/>
      <c r="X9" s="164"/>
      <c r="Y9" s="164"/>
      <c r="Z9" s="164"/>
      <c r="AA9" s="164"/>
    </row>
    <row r="10" spans="1:27" ht="42.75" x14ac:dyDescent="0.25">
      <c r="A10" s="260"/>
      <c r="B10" s="265" t="str">
        <f ca="1">CONCATENATE("PI - индекс доходности при ставке дисконтирования ",ROUND(D11*100,2),"%")</f>
        <v>PI - индекс доходности при ставке дисконтирования 11,36%</v>
      </c>
      <c r="C10" s="271" t="s">
        <v>115</v>
      </c>
      <c r="D10" s="277">
        <f ca="1">D6/-D30</f>
        <v>0.93394326813789663</v>
      </c>
      <c r="E10" s="7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672"/>
      <c r="Q10" s="159"/>
      <c r="R10" s="164"/>
      <c r="S10" s="164"/>
      <c r="T10" s="164"/>
      <c r="U10" s="164"/>
      <c r="V10" s="164"/>
      <c r="W10" s="164"/>
      <c r="X10" s="164"/>
      <c r="Y10" s="164"/>
      <c r="Z10" s="164"/>
      <c r="AA10" s="164"/>
    </row>
    <row r="11" spans="1:27" x14ac:dyDescent="0.25">
      <c r="A11" s="226" t="str" cm="1">
        <f t="array" aca="1" ref="A11" ca="1">HYPERLINK(CELL("адрес",Макро!F17),"источник")</f>
        <v>источник</v>
      </c>
      <c r="B11" s="398" t="s">
        <v>177</v>
      </c>
      <c r="C11" s="191" t="s">
        <v>27</v>
      </c>
      <c r="D11" s="635">
        <f ca="1">Макро!$F$17</f>
        <v>0.11356407843137253</v>
      </c>
      <c r="E11" s="71"/>
      <c r="F11" s="252"/>
      <c r="G11" s="251"/>
      <c r="H11" s="251"/>
      <c r="I11" s="251"/>
      <c r="J11" s="251"/>
      <c r="K11" s="251"/>
      <c r="L11" s="251"/>
      <c r="M11" s="251"/>
      <c r="N11" s="251"/>
      <c r="O11" s="251"/>
      <c r="P11" s="672"/>
      <c r="Q11" s="159"/>
      <c r="R11" s="164"/>
      <c r="S11" s="164"/>
      <c r="T11" s="164"/>
      <c r="U11" s="164"/>
      <c r="V11" s="164"/>
      <c r="W11" s="164"/>
      <c r="X11" s="164"/>
      <c r="Y11" s="164"/>
      <c r="Z11" s="164"/>
      <c r="AA11" s="164"/>
    </row>
    <row r="12" spans="1:27" x14ac:dyDescent="0.25">
      <c r="A12" s="260"/>
      <c r="B12" s="633"/>
      <c r="C12" s="251"/>
      <c r="D12" s="251"/>
      <c r="E12" s="7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672"/>
      <c r="Q12" s="159"/>
      <c r="R12" s="164"/>
      <c r="S12" s="164"/>
      <c r="T12" s="164"/>
      <c r="U12" s="164"/>
      <c r="V12" s="164"/>
      <c r="W12" s="164"/>
      <c r="X12" s="164"/>
      <c r="Y12" s="164"/>
      <c r="Z12" s="164"/>
      <c r="AA12" s="164"/>
    </row>
    <row r="13" spans="1:27" x14ac:dyDescent="0.25">
      <c r="A13" s="260"/>
      <c r="B13" s="633"/>
      <c r="C13" s="251"/>
      <c r="D13" s="251"/>
      <c r="E13" s="7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672"/>
      <c r="Q13" s="159"/>
      <c r="R13" s="164"/>
      <c r="S13" s="164"/>
      <c r="T13" s="164"/>
      <c r="U13" s="164"/>
      <c r="V13" s="164"/>
      <c r="W13" s="164"/>
      <c r="X13" s="164"/>
      <c r="Y13" s="164"/>
      <c r="Z13" s="164"/>
      <c r="AA13" s="164"/>
    </row>
    <row r="14" spans="1:27" x14ac:dyDescent="0.25">
      <c r="A14" s="260"/>
      <c r="B14" s="633"/>
      <c r="C14" s="251"/>
      <c r="D14" s="251"/>
      <c r="E14" s="7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672"/>
      <c r="Q14" s="159"/>
      <c r="R14" s="164"/>
      <c r="S14" s="164"/>
      <c r="T14" s="164"/>
      <c r="U14" s="164"/>
      <c r="V14" s="164"/>
      <c r="W14" s="164"/>
      <c r="X14" s="164"/>
      <c r="Y14" s="164"/>
      <c r="Z14" s="164"/>
      <c r="AA14" s="164"/>
    </row>
    <row r="15" spans="1:27" x14ac:dyDescent="0.25">
      <c r="A15" s="260"/>
      <c r="B15" s="633"/>
      <c r="C15" s="251"/>
      <c r="D15" s="251"/>
      <c r="E15" s="7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672"/>
      <c r="Q15" s="159"/>
      <c r="R15" s="164"/>
      <c r="S15" s="164"/>
      <c r="T15" s="164"/>
      <c r="U15" s="164"/>
      <c r="V15" s="164"/>
      <c r="W15" s="164"/>
      <c r="X15" s="164"/>
      <c r="Y15" s="164"/>
      <c r="Z15" s="164"/>
      <c r="AA15" s="164"/>
    </row>
    <row r="16" spans="1:27" x14ac:dyDescent="0.25">
      <c r="A16" s="260"/>
      <c r="B16" s="633"/>
      <c r="C16" s="251"/>
      <c r="D16" s="251"/>
      <c r="E16" s="7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672"/>
      <c r="Q16" s="159"/>
      <c r="R16" s="164"/>
      <c r="S16" s="164"/>
      <c r="T16" s="164"/>
      <c r="U16" s="164"/>
      <c r="V16" s="164"/>
      <c r="W16" s="164"/>
      <c r="X16" s="164"/>
      <c r="Y16" s="164"/>
      <c r="Z16" s="164"/>
      <c r="AA16" s="164"/>
    </row>
    <row r="17" spans="1:27" x14ac:dyDescent="0.25">
      <c r="A17" s="260"/>
      <c r="B17" s="633"/>
      <c r="C17" s="251"/>
      <c r="D17" s="251"/>
      <c r="E17" s="7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672"/>
      <c r="Q17" s="159"/>
      <c r="R17" s="164"/>
      <c r="S17" s="164"/>
      <c r="T17" s="164"/>
      <c r="U17" s="164"/>
      <c r="V17" s="164"/>
      <c r="W17" s="164"/>
      <c r="X17" s="164"/>
      <c r="Y17" s="164"/>
      <c r="Z17" s="164"/>
      <c r="AA17" s="164"/>
    </row>
    <row r="18" spans="1:27" x14ac:dyDescent="0.25">
      <c r="A18" s="260"/>
      <c r="B18" s="633"/>
      <c r="C18" s="251"/>
      <c r="D18" s="251"/>
      <c r="E18" s="7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672"/>
      <c r="Q18" s="159"/>
      <c r="R18" s="164"/>
      <c r="S18" s="164"/>
      <c r="T18" s="164"/>
      <c r="U18" s="164"/>
      <c r="V18" s="164"/>
      <c r="W18" s="164"/>
      <c r="X18" s="164"/>
      <c r="Y18" s="164"/>
      <c r="Z18" s="164"/>
      <c r="AA18" s="164"/>
    </row>
    <row r="19" spans="1:27" x14ac:dyDescent="0.25">
      <c r="A19" s="260"/>
      <c r="B19" s="633"/>
      <c r="C19" s="251"/>
      <c r="D19" s="251"/>
      <c r="E19" s="7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672"/>
      <c r="Q19" s="159"/>
      <c r="R19" s="164"/>
      <c r="S19" s="164"/>
      <c r="T19" s="164"/>
      <c r="U19" s="164"/>
      <c r="V19" s="164"/>
      <c r="W19" s="164"/>
      <c r="X19" s="164"/>
      <c r="Y19" s="164"/>
      <c r="Z19" s="164"/>
      <c r="AA19" s="164"/>
    </row>
    <row r="20" spans="1:27" x14ac:dyDescent="0.25">
      <c r="A20" s="260"/>
      <c r="B20" s="633"/>
      <c r="C20" s="251"/>
      <c r="D20" s="251"/>
      <c r="E20" s="7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672"/>
      <c r="Q20" s="159"/>
      <c r="R20" s="164"/>
      <c r="S20" s="164"/>
      <c r="T20" s="164"/>
      <c r="U20" s="164"/>
      <c r="V20" s="164"/>
      <c r="W20" s="164"/>
      <c r="X20" s="164"/>
      <c r="Y20" s="164"/>
      <c r="Z20" s="164"/>
      <c r="AA20" s="164"/>
    </row>
    <row r="21" spans="1:27" x14ac:dyDescent="0.25">
      <c r="A21" s="260"/>
      <c r="B21" s="633"/>
      <c r="C21" s="251"/>
      <c r="D21" s="251"/>
      <c r="E21" s="7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672"/>
      <c r="Q21" s="159"/>
      <c r="R21" s="164"/>
      <c r="S21" s="164"/>
      <c r="T21" s="164"/>
      <c r="U21" s="164"/>
      <c r="V21" s="164"/>
      <c r="W21" s="164"/>
      <c r="X21" s="164"/>
      <c r="Y21" s="164"/>
      <c r="Z21" s="164"/>
      <c r="AA21" s="164"/>
    </row>
    <row r="22" spans="1:27" x14ac:dyDescent="0.25">
      <c r="A22" s="260"/>
      <c r="B22" s="633"/>
      <c r="C22" s="251"/>
      <c r="D22" s="251"/>
      <c r="E22" s="7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672"/>
      <c r="Q22" s="159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1:27" x14ac:dyDescent="0.25">
      <c r="A23" s="260"/>
      <c r="B23" s="633"/>
      <c r="C23" s="251"/>
      <c r="D23" s="251"/>
      <c r="E23" s="7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672"/>
      <c r="Q23" s="159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1:27" x14ac:dyDescent="0.25">
      <c r="A24" s="260"/>
      <c r="B24" s="633"/>
      <c r="C24" s="251"/>
      <c r="D24" s="251"/>
      <c r="E24" s="7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672"/>
      <c r="Q24" s="159"/>
      <c r="R24" s="164"/>
      <c r="S24" s="164"/>
      <c r="T24" s="164"/>
      <c r="U24" s="164"/>
      <c r="V24" s="164"/>
      <c r="W24" s="164"/>
      <c r="X24" s="164"/>
      <c r="Y24" s="164"/>
      <c r="Z24" s="164"/>
      <c r="AA24" s="164"/>
    </row>
    <row r="25" spans="1:27" x14ac:dyDescent="0.25">
      <c r="A25" s="260"/>
      <c r="B25" s="633"/>
      <c r="C25" s="251"/>
      <c r="D25" s="251"/>
      <c r="E25" s="7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672"/>
      <c r="Q25" s="159"/>
      <c r="R25" s="164"/>
      <c r="S25" s="164"/>
      <c r="T25" s="164"/>
      <c r="U25" s="164"/>
      <c r="V25" s="164"/>
      <c r="W25" s="164"/>
      <c r="X25" s="164"/>
      <c r="Y25" s="164"/>
      <c r="Z25" s="164"/>
      <c r="AA25" s="164"/>
    </row>
    <row r="26" spans="1:27" x14ac:dyDescent="0.25">
      <c r="A26" s="260"/>
      <c r="B26" s="633"/>
      <c r="C26" s="251"/>
      <c r="D26" s="251"/>
      <c r="E26" s="7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672"/>
      <c r="Q26" s="159"/>
      <c r="R26" s="164"/>
      <c r="S26" s="164"/>
      <c r="T26" s="164"/>
      <c r="U26" s="164"/>
      <c r="V26" s="164"/>
      <c r="W26" s="164"/>
      <c r="X26" s="164"/>
      <c r="Y26" s="164"/>
      <c r="Z26" s="164"/>
      <c r="AA26" s="164"/>
    </row>
    <row r="27" spans="1:27" x14ac:dyDescent="0.25">
      <c r="A27" s="260"/>
      <c r="B27" s="633"/>
      <c r="C27" s="251"/>
      <c r="D27" s="251"/>
      <c r="E27" s="7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672"/>
      <c r="Q27" s="159"/>
      <c r="R27" s="164"/>
      <c r="S27" s="164"/>
      <c r="T27" s="164"/>
      <c r="U27" s="164"/>
      <c r="V27" s="164"/>
      <c r="W27" s="164"/>
      <c r="X27" s="164"/>
      <c r="Y27" s="164"/>
      <c r="Z27" s="164"/>
      <c r="AA27" s="164"/>
    </row>
    <row r="28" spans="1:27" s="16" customFormat="1" x14ac:dyDescent="0.25">
      <c r="A28" s="521"/>
      <c r="B28" s="527" t="s">
        <v>176</v>
      </c>
      <c r="C28" s="540"/>
      <c r="D28" s="521"/>
      <c r="E28" s="458"/>
      <c r="F28" s="467">
        <v>46022</v>
      </c>
      <c r="G28" s="467">
        <v>46387</v>
      </c>
      <c r="H28" s="467">
        <v>46752</v>
      </c>
      <c r="I28" s="467">
        <v>47118</v>
      </c>
      <c r="J28" s="467">
        <v>47483</v>
      </c>
      <c r="K28" s="467">
        <v>47848</v>
      </c>
      <c r="L28" s="467">
        <v>48213</v>
      </c>
      <c r="M28" s="467">
        <v>48579</v>
      </c>
      <c r="N28" s="467">
        <v>48944</v>
      </c>
      <c r="O28" s="467">
        <v>49309</v>
      </c>
      <c r="P28" s="725"/>
      <c r="Q28" s="159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ht="30" x14ac:dyDescent="0.25">
      <c r="A29" s="226" t="str" cm="1">
        <f t="array" aca="1" ref="A29" ca="1">HYPERLINK(CELL("адрес",БДДСбезЛьгот!A27),"источник")</f>
        <v>источник</v>
      </c>
      <c r="B29" s="91" t="s">
        <v>913</v>
      </c>
      <c r="C29" s="270" t="s">
        <v>19</v>
      </c>
      <c r="D29" s="431">
        <f ca="1">SUM(F29:O29)</f>
        <v>293562.53671139386</v>
      </c>
      <c r="E29" s="71"/>
      <c r="F29" s="250">
        <f ca="1">БДДСбезЛьгот!F27</f>
        <v>-7289.7493333333332</v>
      </c>
      <c r="G29" s="250">
        <f ca="1">БДДСбезЛьгот!G27</f>
        <v>-12482.628650666666</v>
      </c>
      <c r="H29" s="250">
        <f ca="1">БДДСбезЛьгот!H27</f>
        <v>-16728.000898002298</v>
      </c>
      <c r="I29" s="250">
        <f ca="1">БДДСбезЛьгот!I27</f>
        <v>36435.62488713261</v>
      </c>
      <c r="J29" s="250">
        <f ca="1">БДДСбезЛьгот!J27</f>
        <v>39842.583568886155</v>
      </c>
      <c r="K29" s="250">
        <f ca="1">БДДСбезЛьгот!K27</f>
        <v>43351.93412755293</v>
      </c>
      <c r="L29" s="250">
        <f ca="1">БДДСбезЛьгот!L27</f>
        <v>47057.880296658244</v>
      </c>
      <c r="M29" s="250">
        <f ca="1">БДДСбезЛьгот!M27</f>
        <v>50712.643401893714</v>
      </c>
      <c r="N29" s="250">
        <f ca="1">БДДСбезЛьгот!N27</f>
        <v>54654.520248584493</v>
      </c>
      <c r="O29" s="250">
        <f ca="1">БДДСбезЛьгот!O27</f>
        <v>58007.729062687984</v>
      </c>
      <c r="P29" s="386"/>
      <c r="Q29" s="159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ht="30" x14ac:dyDescent="0.25">
      <c r="A30" s="226" t="str" cm="1">
        <f t="array" aca="1" ref="A30" ca="1">HYPERLINK(CELL("адрес",БДДСбезЛьгот!A38),"источник")</f>
        <v>источник</v>
      </c>
      <c r="B30" s="91" t="s">
        <v>914</v>
      </c>
      <c r="C30" s="270" t="s">
        <v>19</v>
      </c>
      <c r="D30" s="431">
        <f>SUM(F30:O30)</f>
        <v>-75000</v>
      </c>
      <c r="E30" s="71"/>
      <c r="F30" s="250">
        <f>БДДСбезЛьгот!F38</f>
        <v>-18333.333333333332</v>
      </c>
      <c r="G30" s="250">
        <f>БДДСбезЛьгот!G38</f>
        <v>-56666.666666666664</v>
      </c>
      <c r="H30" s="250">
        <f>БДДСбезЛьгот!H38</f>
        <v>0</v>
      </c>
      <c r="I30" s="250">
        <f>БДДСбезЛьгот!I38</f>
        <v>0</v>
      </c>
      <c r="J30" s="250">
        <f>БДДСбезЛьгот!J38</f>
        <v>0</v>
      </c>
      <c r="K30" s="250">
        <f>БДДСбезЛьгот!K38</f>
        <v>0</v>
      </c>
      <c r="L30" s="250">
        <f>БДДСбезЛьгот!L38</f>
        <v>0</v>
      </c>
      <c r="M30" s="250">
        <f>БДДСбезЛьгот!M38</f>
        <v>0</v>
      </c>
      <c r="N30" s="250">
        <f>БДДСбезЛьгот!N38</f>
        <v>0</v>
      </c>
      <c r="O30" s="250">
        <f>БДДСбезЛьгот!O38</f>
        <v>0</v>
      </c>
      <c r="P30" s="386"/>
      <c r="Q30" s="159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ht="28.5" x14ac:dyDescent="0.25">
      <c r="A31" s="149"/>
      <c r="B31" s="398" t="s">
        <v>175</v>
      </c>
      <c r="C31" s="270" t="s">
        <v>19</v>
      </c>
      <c r="D31" s="274">
        <f ca="1">SUM(D29:D30)</f>
        <v>218562.53671139386</v>
      </c>
      <c r="E31" s="71"/>
      <c r="F31" s="274">
        <f ca="1">SUM(F29:F30)</f>
        <v>-25623.082666666665</v>
      </c>
      <c r="G31" s="274">
        <f t="shared" ref="G31:O31" ca="1" si="4">SUM(G29:G30)</f>
        <v>-69149.295317333337</v>
      </c>
      <c r="H31" s="274">
        <f t="shared" ca="1" si="4"/>
        <v>-16728.000898002298</v>
      </c>
      <c r="I31" s="274">
        <f t="shared" ca="1" si="4"/>
        <v>36435.62488713261</v>
      </c>
      <c r="J31" s="274">
        <f t="shared" ca="1" si="4"/>
        <v>39842.583568886155</v>
      </c>
      <c r="K31" s="274">
        <f t="shared" ca="1" si="4"/>
        <v>43351.93412755293</v>
      </c>
      <c r="L31" s="274">
        <f t="shared" ca="1" si="4"/>
        <v>47057.880296658244</v>
      </c>
      <c r="M31" s="274">
        <f t="shared" ca="1" si="4"/>
        <v>50712.643401893714</v>
      </c>
      <c r="N31" s="274">
        <f t="shared" ca="1" si="4"/>
        <v>54654.520248584493</v>
      </c>
      <c r="O31" s="274">
        <f t="shared" ca="1" si="4"/>
        <v>58007.729062687984</v>
      </c>
      <c r="P31" s="718"/>
      <c r="Q31" s="159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ht="30" x14ac:dyDescent="0.25">
      <c r="A32" s="149"/>
      <c r="B32" s="634" t="s">
        <v>179</v>
      </c>
      <c r="C32" s="197"/>
      <c r="D32" s="149"/>
      <c r="E32" s="71"/>
      <c r="F32" s="250">
        <f ca="1">F31</f>
        <v>-25623.082666666665</v>
      </c>
      <c r="G32" s="250">
        <f ca="1">F32+G31</f>
        <v>-94772.377984000006</v>
      </c>
      <c r="H32" s="250">
        <f t="shared" ref="H32:O32" ca="1" si="5">G32+H31</f>
        <v>-111500.3788820023</v>
      </c>
      <c r="I32" s="250">
        <f t="shared" ca="1" si="5"/>
        <v>-75064.753994869694</v>
      </c>
      <c r="J32" s="250">
        <f t="shared" ca="1" si="5"/>
        <v>-35222.170425983539</v>
      </c>
      <c r="K32" s="250">
        <f t="shared" ca="1" si="5"/>
        <v>8129.7637015693908</v>
      </c>
      <c r="L32" s="250">
        <f t="shared" ca="1" si="5"/>
        <v>55187.643998227635</v>
      </c>
      <c r="M32" s="250">
        <f t="shared" ca="1" si="5"/>
        <v>105900.28740012135</v>
      </c>
      <c r="N32" s="250">
        <f t="shared" ca="1" si="5"/>
        <v>160554.80764870584</v>
      </c>
      <c r="O32" s="250">
        <f t="shared" ca="1" si="5"/>
        <v>218562.53671139383</v>
      </c>
      <c r="P32" s="386"/>
      <c r="Q32" s="159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17" x14ac:dyDescent="0.25">
      <c r="A33" s="149"/>
      <c r="B33" s="178"/>
      <c r="C33" s="197"/>
      <c r="D33" s="149"/>
      <c r="E33" s="71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386"/>
      <c r="Q33" s="159"/>
    </row>
    <row r="34" spans="1:17" x14ac:dyDescent="0.25">
      <c r="A34" s="149"/>
      <c r="B34" s="178"/>
      <c r="C34" s="197"/>
      <c r="D34" s="149"/>
      <c r="E34" s="71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386"/>
      <c r="Q34" s="159"/>
    </row>
    <row r="35" spans="1:17" x14ac:dyDescent="0.25">
      <c r="A35" s="149"/>
      <c r="B35" s="178"/>
      <c r="C35" s="197"/>
      <c r="D35" s="149"/>
      <c r="E35" s="71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386"/>
      <c r="Q35" s="159"/>
    </row>
    <row r="36" spans="1:17" x14ac:dyDescent="0.25">
      <c r="A36" s="149"/>
      <c r="B36" s="178"/>
      <c r="C36" s="197"/>
      <c r="D36" s="149"/>
      <c r="E36" s="71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386"/>
      <c r="Q36" s="159"/>
    </row>
    <row r="37" spans="1:17" x14ac:dyDescent="0.25">
      <c r="A37" s="149"/>
      <c r="B37" s="178"/>
      <c r="C37" s="197"/>
      <c r="D37" s="149"/>
      <c r="E37" s="71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386"/>
      <c r="Q37" s="159"/>
    </row>
    <row r="38" spans="1:17" x14ac:dyDescent="0.25">
      <c r="A38" s="149"/>
      <c r="B38" s="178"/>
      <c r="C38" s="197"/>
      <c r="D38" s="149"/>
      <c r="E38" s="71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386"/>
      <c r="Q38" s="159"/>
    </row>
    <row r="39" spans="1:17" x14ac:dyDescent="0.25">
      <c r="A39" s="149"/>
      <c r="B39" s="178"/>
      <c r="C39" s="197"/>
      <c r="D39" s="149"/>
      <c r="E39" s="71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386"/>
      <c r="Q39" s="159"/>
    </row>
    <row r="40" spans="1:17" x14ac:dyDescent="0.25">
      <c r="A40" s="149"/>
      <c r="B40" s="178"/>
      <c r="C40" s="197"/>
      <c r="D40" s="149"/>
      <c r="E40" s="71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386"/>
      <c r="Q40" s="159"/>
    </row>
    <row r="41" spans="1:17" x14ac:dyDescent="0.25">
      <c r="A41" s="149"/>
      <c r="B41" s="178"/>
      <c r="C41" s="197"/>
      <c r="D41" s="149"/>
      <c r="E41" s="71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386"/>
      <c r="Q41" s="159"/>
    </row>
    <row r="42" spans="1:17" x14ac:dyDescent="0.25">
      <c r="A42" s="149"/>
      <c r="B42" s="178"/>
      <c r="C42" s="197"/>
      <c r="D42" s="149"/>
      <c r="E42" s="71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386"/>
      <c r="Q42" s="159"/>
    </row>
    <row r="43" spans="1:17" x14ac:dyDescent="0.25">
      <c r="A43" s="149"/>
      <c r="B43" s="178"/>
      <c r="C43" s="197"/>
      <c r="D43" s="149"/>
      <c r="E43" s="71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386"/>
      <c r="Q43" s="159"/>
    </row>
    <row r="44" spans="1:17" x14ac:dyDescent="0.25">
      <c r="A44" s="149"/>
      <c r="B44" s="178"/>
      <c r="C44" s="197"/>
      <c r="D44" s="149"/>
      <c r="E44" s="71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386"/>
      <c r="Q44" s="159"/>
    </row>
    <row r="45" spans="1:17" x14ac:dyDescent="0.25">
      <c r="A45" s="149"/>
      <c r="B45" s="178"/>
      <c r="C45" s="197"/>
      <c r="D45" s="149"/>
      <c r="E45" s="71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386"/>
      <c r="Q45" s="159"/>
    </row>
    <row r="46" spans="1:17" x14ac:dyDescent="0.25">
      <c r="A46" s="149"/>
      <c r="B46" s="178"/>
      <c r="C46" s="197"/>
      <c r="D46" s="149"/>
      <c r="E46" s="71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386"/>
      <c r="Q46" s="159"/>
    </row>
    <row r="47" spans="1:17" x14ac:dyDescent="0.25">
      <c r="A47" s="149"/>
      <c r="B47" s="178"/>
      <c r="C47" s="197"/>
      <c r="D47" s="149"/>
      <c r="E47" s="71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386"/>
      <c r="Q47" s="159"/>
    </row>
    <row r="48" spans="1:17" x14ac:dyDescent="0.25">
      <c r="A48" s="149"/>
      <c r="B48" s="178"/>
      <c r="C48" s="197"/>
      <c r="D48" s="149"/>
      <c r="E48" s="71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386"/>
      <c r="Q48" s="159"/>
    </row>
    <row r="49" spans="1:17" x14ac:dyDescent="0.25">
      <c r="A49" s="149"/>
      <c r="B49" s="178"/>
      <c r="C49" s="197"/>
      <c r="D49" s="149"/>
      <c r="E49" s="71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386"/>
      <c r="Q49" s="159"/>
    </row>
    <row r="50" spans="1:17" x14ac:dyDescent="0.25">
      <c r="A50" s="149"/>
      <c r="B50" s="178"/>
      <c r="C50" s="197"/>
      <c r="D50" s="149"/>
      <c r="E50" s="71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386"/>
      <c r="Q50" s="159"/>
    </row>
    <row r="51" spans="1:17" x14ac:dyDescent="0.25">
      <c r="A51" s="149"/>
      <c r="B51" s="167"/>
      <c r="C51" s="189"/>
      <c r="D51" s="71"/>
      <c r="E51" s="71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386"/>
      <c r="Q51" s="159"/>
    </row>
    <row r="52" spans="1:17" x14ac:dyDescent="0.25">
      <c r="A52" s="149"/>
      <c r="B52" s="167"/>
      <c r="C52" s="189"/>
      <c r="D52" s="71"/>
      <c r="E52" s="71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386"/>
      <c r="Q52" s="159"/>
    </row>
    <row r="53" spans="1:17" x14ac:dyDescent="0.25">
      <c r="A53" s="149"/>
      <c r="B53" s="178"/>
      <c r="C53" s="197"/>
      <c r="D53" s="149"/>
      <c r="E53" s="71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386"/>
      <c r="Q53" s="159"/>
    </row>
    <row r="54" spans="1:17" x14ac:dyDescent="0.25">
      <c r="A54" s="149"/>
      <c r="B54" s="178"/>
      <c r="C54" s="197"/>
      <c r="D54" s="149"/>
      <c r="E54" s="71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386"/>
      <c r="Q54" s="159"/>
    </row>
    <row r="55" spans="1:17" ht="15.75" thickBot="1" x14ac:dyDescent="0.3">
      <c r="A55" s="132"/>
      <c r="B55" s="179"/>
      <c r="C55" s="192"/>
      <c r="D55" s="132"/>
      <c r="E55" s="71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71"/>
      <c r="Q55" s="159"/>
    </row>
    <row r="56" spans="1:17" ht="7.15" customHeight="1" x14ac:dyDescent="0.25">
      <c r="A56" s="149"/>
      <c r="B56" s="178"/>
      <c r="C56" s="149"/>
      <c r="D56" s="149"/>
      <c r="E56" s="71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71"/>
      <c r="Q56" s="159"/>
    </row>
  </sheetData>
  <hyperlinks>
    <hyperlink ref="I1" location="Контроль!A1" display="Контроль!A1" xr:uid="{DCBC369A-8554-4D32-8B2C-CE4DD98F59B5}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&amp;C&amp;9Страница  &amp;P из &amp;N&amp;R&amp;G</oddFooter>
  </headerFooter>
  <ignoredErrors>
    <ignoredError sqref="G6:N6" formulaRange="1"/>
  </ignoredError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8BCED-01F4-4813-BE82-10E56E71DE37}">
  <sheetPr codeName="Лист36">
    <tabColor theme="7" tint="0.39997558519241921"/>
    <outlinePr summaryRight="0"/>
  </sheetPr>
  <dimension ref="A1:AD45"/>
  <sheetViews>
    <sheetView zoomScaleNormal="100" workbookViewId="0">
      <pane xSplit="4" ySplit="4" topLeftCell="E5" activePane="bottomRight" state="frozen"/>
      <selection activeCell="J32" sqref="J32"/>
      <selection pane="topRight" activeCell="J32" sqref="J32"/>
      <selection pane="bottomLeft" activeCell="J32" sqref="J32"/>
      <selection pane="bottomRight" activeCell="D47" sqref="D47"/>
    </sheetView>
  </sheetViews>
  <sheetFormatPr defaultRowHeight="15" outlineLevelCol="1" x14ac:dyDescent="0.25"/>
  <cols>
    <col min="1" max="1" width="10.42578125" customWidth="1"/>
    <col min="2" max="2" width="33.42578125" customWidth="1"/>
    <col min="3" max="3" width="9.5703125" style="14" customWidth="1"/>
    <col min="4" max="4" width="11" style="6" customWidth="1"/>
    <col min="5" max="5" width="2.28515625" customWidth="1"/>
    <col min="6" max="6" width="10" bestFit="1" customWidth="1"/>
    <col min="16" max="16" width="2.1406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7.4" customHeight="1" x14ac:dyDescent="0.25">
      <c r="A1" s="693" t="s">
        <v>314</v>
      </c>
      <c r="B1" s="71"/>
      <c r="C1" s="404"/>
      <c r="D1" s="124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91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04"/>
      <c r="D2" s="124"/>
      <c r="E2" s="71"/>
      <c r="F2" s="384">
        <v>1</v>
      </c>
      <c r="G2" s="384">
        <v>2</v>
      </c>
      <c r="H2" s="384">
        <v>3</v>
      </c>
      <c r="I2" s="384">
        <v>4</v>
      </c>
      <c r="J2" s="384">
        <v>5</v>
      </c>
      <c r="K2" s="384">
        <v>6</v>
      </c>
      <c r="L2" s="384">
        <v>7</v>
      </c>
      <c r="M2" s="384">
        <v>8</v>
      </c>
      <c r="N2" s="384">
        <v>9</v>
      </c>
      <c r="O2" s="384">
        <v>10</v>
      </c>
      <c r="P2" s="392"/>
      <c r="Q2" s="159"/>
      <c r="R2" s="392">
        <v>11</v>
      </c>
      <c r="S2" s="384">
        <f>R2+1</f>
        <v>12</v>
      </c>
      <c r="T2" s="384">
        <f>S2+1</f>
        <v>13</v>
      </c>
      <c r="U2" s="384">
        <f t="shared" ref="U2:AA3" si="0">T2+1</f>
        <v>14</v>
      </c>
      <c r="V2" s="384">
        <f t="shared" si="0"/>
        <v>15</v>
      </c>
      <c r="W2" s="384">
        <f t="shared" si="0"/>
        <v>16</v>
      </c>
      <c r="X2" s="384">
        <f t="shared" si="0"/>
        <v>17</v>
      </c>
      <c r="Y2" s="384">
        <f t="shared" si="0"/>
        <v>18</v>
      </c>
      <c r="Z2" s="384">
        <f t="shared" si="0"/>
        <v>19</v>
      </c>
      <c r="AA2" s="384">
        <f t="shared" si="0"/>
        <v>20</v>
      </c>
      <c r="AB2" s="71"/>
      <c r="AC2" s="71"/>
      <c r="AD2" s="71"/>
    </row>
    <row r="3" spans="1:30" s="18" customFormat="1" ht="28.5" x14ac:dyDescent="0.25">
      <c r="A3" s="127"/>
      <c r="B3" s="127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226" t="str" cm="1">
        <f t="array" aca="1" ref="A5" ca="1">HYPERLINK(CELL("адрес",Выручка!A8),"источник")</f>
        <v>источник</v>
      </c>
      <c r="B5" s="394" t="s">
        <v>459</v>
      </c>
      <c r="C5" s="405" t="s">
        <v>19</v>
      </c>
      <c r="D5" s="385">
        <f>SUM(F5:O5)</f>
        <v>929773.54922430473</v>
      </c>
      <c r="E5" s="71"/>
      <c r="F5" s="385">
        <f>Выручка!F8</f>
        <v>0</v>
      </c>
      <c r="G5" s="385">
        <f>Выручка!G8</f>
        <v>0</v>
      </c>
      <c r="H5" s="385">
        <f>Выручка!H8</f>
        <v>38530</v>
      </c>
      <c r="I5" s="385">
        <f>Выручка!I8</f>
        <v>112840</v>
      </c>
      <c r="J5" s="385">
        <f>Выручка!J8</f>
        <v>117353.60000000002</v>
      </c>
      <c r="K5" s="385">
        <f>Выручка!K8</f>
        <v>122047.74400000002</v>
      </c>
      <c r="L5" s="385">
        <f>Выручка!L8</f>
        <v>126929.65376</v>
      </c>
      <c r="M5" s="385">
        <f>Выручка!M8</f>
        <v>132006.83991040001</v>
      </c>
      <c r="N5" s="385">
        <f>Выручка!N8</f>
        <v>137287.11350681601</v>
      </c>
      <c r="O5" s="385">
        <f>Выручка!O8</f>
        <v>142778.59804708866</v>
      </c>
      <c r="P5" s="385"/>
      <c r="Q5" s="159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71"/>
      <c r="AC5" s="71"/>
      <c r="AD5" s="71"/>
    </row>
    <row r="6" spans="1:30" ht="28.5" x14ac:dyDescent="0.25">
      <c r="A6" s="71"/>
      <c r="B6" s="394" t="s">
        <v>104</v>
      </c>
      <c r="C6" s="405" t="s">
        <v>19</v>
      </c>
      <c r="D6" s="385">
        <f>SUM(D7:D11)</f>
        <v>-446081.31524638995</v>
      </c>
      <c r="E6" s="71"/>
      <c r="F6" s="385">
        <f t="shared" ref="F6:O6" si="2">SUM(F7:F11)</f>
        <v>-4985</v>
      </c>
      <c r="G6" s="385">
        <f t="shared" si="2"/>
        <v>-5181.8</v>
      </c>
      <c r="H6" s="385">
        <f t="shared" si="2"/>
        <v>-43648.109084895237</v>
      </c>
      <c r="I6" s="385">
        <f t="shared" si="2"/>
        <v>-52649.936387508831</v>
      </c>
      <c r="J6" s="385">
        <f t="shared" si="2"/>
        <v>-54042.585276768004</v>
      </c>
      <c r="K6" s="385">
        <f t="shared" si="2"/>
        <v>-55478.94349540479</v>
      </c>
      <c r="L6" s="385">
        <f t="shared" si="2"/>
        <v>-56861.036161477692</v>
      </c>
      <c r="M6" s="385">
        <f t="shared" si="2"/>
        <v>-57452.066720508417</v>
      </c>
      <c r="N6" s="385">
        <f t="shared" si="2"/>
        <v>-58920.083637613876</v>
      </c>
      <c r="O6" s="385">
        <f t="shared" si="2"/>
        <v>-56861.754482213109</v>
      </c>
      <c r="P6" s="385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t="30" x14ac:dyDescent="0.25">
      <c r="A7" s="324" t="str" cm="1">
        <f t="array" aca="1" ref="A7" ca="1">HYPERLINK(CELL("адрес",Себестоимость!A7),"источник")</f>
        <v>источник</v>
      </c>
      <c r="B7" s="395" t="s">
        <v>251</v>
      </c>
      <c r="C7" s="405" t="s">
        <v>19</v>
      </c>
      <c r="D7" s="409">
        <f>SUM(F7:O7)</f>
        <v>-40828.286048632843</v>
      </c>
      <c r="E7" s="71"/>
      <c r="F7" s="386">
        <f>-Себестоимость!F7</f>
        <v>0</v>
      </c>
      <c r="G7" s="386">
        <f>-Себестоимость!G7</f>
        <v>0</v>
      </c>
      <c r="H7" s="386">
        <f>-Себестоимость!H7</f>
        <v>-1400</v>
      </c>
      <c r="I7" s="386">
        <f>-Себестоимость!I7</f>
        <v>-4992.0000000000009</v>
      </c>
      <c r="J7" s="386">
        <f>-Себестоимость!J7</f>
        <v>-5191.6800000000012</v>
      </c>
      <c r="K7" s="386">
        <f>-Себестоимость!K7</f>
        <v>-5399.347200000002</v>
      </c>
      <c r="L7" s="386">
        <f>-Себестоимость!L7</f>
        <v>-5615.3210880000015</v>
      </c>
      <c r="M7" s="386">
        <f>-Себестоимость!M7</f>
        <v>-5839.9339315200014</v>
      </c>
      <c r="N7" s="386">
        <f>-Себестоимость!N7</f>
        <v>-6073.5312887808013</v>
      </c>
      <c r="O7" s="386">
        <f>-Себестоимость!O7</f>
        <v>-6316.4725403320344</v>
      </c>
      <c r="P7" s="386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x14ac:dyDescent="0.25">
      <c r="A8" s="226" t="str" cm="1">
        <f t="array" aca="1" ref="A8" ca="1">HYPERLINK(CELL("адрес",Ресурсы!A5),"источник")</f>
        <v>источник</v>
      </c>
      <c r="B8" s="395" t="s">
        <v>262</v>
      </c>
      <c r="C8" s="405" t="s">
        <v>19</v>
      </c>
      <c r="D8" s="409">
        <f>SUM(F8:O8)</f>
        <v>-127739.5685858925</v>
      </c>
      <c r="E8" s="71"/>
      <c r="F8" s="386">
        <f>-Ресурсы!F5</f>
        <v>-4685</v>
      </c>
      <c r="G8" s="386">
        <f>-Ресурсы!G5</f>
        <v>-4881.8</v>
      </c>
      <c r="H8" s="386">
        <f>-Ресурсы!H5</f>
        <v>-9457.026249999999</v>
      </c>
      <c r="I8" s="386">
        <f>-Ресурсы!I5</f>
        <v>-14158.022887499999</v>
      </c>
      <c r="J8" s="386">
        <f>-Ресурсы!J5</f>
        <v>-14623.022683687499</v>
      </c>
      <c r="K8" s="386">
        <f>-Ресурсы!K5</f>
        <v>-15104.089443739686</v>
      </c>
      <c r="L8" s="386">
        <f>-Ресурсы!L5</f>
        <v>-15530.835519859778</v>
      </c>
      <c r="M8" s="386">
        <f>-Ресурсы!M5</f>
        <v>-15971.99017650024</v>
      </c>
      <c r="N8" s="386">
        <f>-Ресурсы!N5</f>
        <v>-16428.089837944004</v>
      </c>
      <c r="O8" s="386">
        <f>-Ресурсы!O5</f>
        <v>-16899.691786661278</v>
      </c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t="30" x14ac:dyDescent="0.25">
      <c r="A9" s="226" t="str" cm="1">
        <f t="array" aca="1" ref="A9" ca="1">HYPERLINK(CELL("адрес",Персонал!A30),"источник")</f>
        <v>источник</v>
      </c>
      <c r="B9" s="395" t="s">
        <v>481</v>
      </c>
      <c r="C9" s="270" t="s">
        <v>19</v>
      </c>
      <c r="D9" s="409">
        <f>SUM(F9:O9)</f>
        <v>-230680.12727853129</v>
      </c>
      <c r="E9" s="71"/>
      <c r="F9" s="135">
        <f>-Персонал!F30</f>
        <v>0</v>
      </c>
      <c r="G9" s="135">
        <f>-Персонал!G30</f>
        <v>0</v>
      </c>
      <c r="H9" s="135">
        <f>-Персонал!H30</f>
        <v>-26252.987596800001</v>
      </c>
      <c r="I9" s="135">
        <f>-Персонал!I30</f>
        <v>-26961.818261913599</v>
      </c>
      <c r="J9" s="135">
        <f>-Персонал!J30</f>
        <v>-27689.787354985267</v>
      </c>
      <c r="K9" s="135">
        <f>-Персонал!K30</f>
        <v>-28437.411613569864</v>
      </c>
      <c r="L9" s="135">
        <f>-Персонал!L30</f>
        <v>-29176.78431552268</v>
      </c>
      <c r="M9" s="135">
        <f>-Персонал!M30</f>
        <v>-29935.380707726272</v>
      </c>
      <c r="N9" s="135">
        <f>-Персонал!N30</f>
        <v>-30713.700606127157</v>
      </c>
      <c r="O9" s="135">
        <f>-Персонал!O30</f>
        <v>-31512.256821886462</v>
      </c>
      <c r="P9" s="714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x14ac:dyDescent="0.25">
      <c r="A10" s="226" t="str" cm="1">
        <f t="array" aca="1" ref="A10" ca="1">HYPERLINK(CELL("адрес",Инвестиции!A10),"источник")</f>
        <v>источник</v>
      </c>
      <c r="B10" s="395" t="s">
        <v>101</v>
      </c>
      <c r="C10" s="270" t="s">
        <v>19</v>
      </c>
      <c r="D10" s="409">
        <f>SUM(F10:O10)</f>
        <v>-43833.333333333336</v>
      </c>
      <c r="E10" s="71"/>
      <c r="F10" s="135">
        <f>-Инвестиции!F10</f>
        <v>0</v>
      </c>
      <c r="G10" s="135">
        <f>-Инвестиции!G10</f>
        <v>0</v>
      </c>
      <c r="H10" s="135">
        <f>-Инвестиции!H10</f>
        <v>-6238.0952380952376</v>
      </c>
      <c r="I10" s="135">
        <f>-Инвестиции!I10</f>
        <v>-6238.0952380952376</v>
      </c>
      <c r="J10" s="135">
        <f>-Инвестиции!J10</f>
        <v>-6238.0952380952376</v>
      </c>
      <c r="K10" s="135">
        <f>-Инвестиции!K10</f>
        <v>-6238.0952380952376</v>
      </c>
      <c r="L10" s="135">
        <f>-Инвестиции!L10</f>
        <v>-6238.0952380952376</v>
      </c>
      <c r="M10" s="135">
        <f>-Инвестиции!M10</f>
        <v>-5404.7619047619046</v>
      </c>
      <c r="N10" s="135">
        <f>-Инвестиции!N10</f>
        <v>-5404.7619047619046</v>
      </c>
      <c r="O10" s="135">
        <f>-Инвестиции!O10</f>
        <v>-1833.333333333333</v>
      </c>
      <c r="P10" s="714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393" t="str" cm="1">
        <f t="array" aca="1" ref="A11" ca="1">HYPERLINK(CELL("адрес",ОбщПрРасходы!A5),"источник")</f>
        <v>источник</v>
      </c>
      <c r="B11" s="395" t="s">
        <v>99</v>
      </c>
      <c r="C11" s="270" t="s">
        <v>19</v>
      </c>
      <c r="D11" s="409">
        <f>SUM(F11:O11)</f>
        <v>-3000</v>
      </c>
      <c r="E11" s="71"/>
      <c r="F11" s="135">
        <f>-ОбщПрРасходы!F5</f>
        <v>-300</v>
      </c>
      <c r="G11" s="135">
        <f>-ОбщПрРасходы!G5</f>
        <v>-300</v>
      </c>
      <c r="H11" s="135">
        <f>-ОбщПрРасходы!H5</f>
        <v>-300</v>
      </c>
      <c r="I11" s="135">
        <f>-ОбщПрРасходы!I5</f>
        <v>-300</v>
      </c>
      <c r="J11" s="135">
        <f>-ОбщПрРасходы!J5</f>
        <v>-300</v>
      </c>
      <c r="K11" s="135">
        <f>-ОбщПрРасходы!K5</f>
        <v>-300</v>
      </c>
      <c r="L11" s="135">
        <f>-ОбщПрРасходы!L5</f>
        <v>-300</v>
      </c>
      <c r="M11" s="135">
        <f>-ОбщПрРасходы!M5</f>
        <v>-300</v>
      </c>
      <c r="N11" s="135">
        <f>-ОбщПрРасходы!N5</f>
        <v>-300</v>
      </c>
      <c r="O11" s="135">
        <f>-ОбщПрРасходы!O5</f>
        <v>-300</v>
      </c>
      <c r="P11" s="714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ht="15.75" thickBot="1" x14ac:dyDescent="0.3">
      <c r="A12" s="149"/>
      <c r="B12" s="396" t="s">
        <v>87</v>
      </c>
      <c r="C12" s="270" t="s">
        <v>19</v>
      </c>
      <c r="D12" s="387">
        <f>D5+D6</f>
        <v>483692.23397791479</v>
      </c>
      <c r="E12" s="71"/>
      <c r="F12" s="387">
        <f t="shared" ref="F12:O12" si="3">F5+F6</f>
        <v>-4985</v>
      </c>
      <c r="G12" s="387">
        <f t="shared" si="3"/>
        <v>-5181.8</v>
      </c>
      <c r="H12" s="387">
        <f t="shared" si="3"/>
        <v>-5118.1090848952372</v>
      </c>
      <c r="I12" s="387">
        <f t="shared" si="3"/>
        <v>60190.063612491169</v>
      </c>
      <c r="J12" s="387">
        <f t="shared" si="3"/>
        <v>63311.014723232016</v>
      </c>
      <c r="K12" s="387">
        <f t="shared" si="3"/>
        <v>66568.80050459523</v>
      </c>
      <c r="L12" s="387">
        <f t="shared" si="3"/>
        <v>70068.617598522309</v>
      </c>
      <c r="M12" s="387">
        <f t="shared" si="3"/>
        <v>74554.773189891595</v>
      </c>
      <c r="N12" s="387">
        <f t="shared" si="3"/>
        <v>78367.029869202132</v>
      </c>
      <c r="O12" s="387">
        <f t="shared" si="3"/>
        <v>85916.84356487554</v>
      </c>
      <c r="P12" s="24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x14ac:dyDescent="0.25">
      <c r="A13" s="149"/>
      <c r="B13" s="397" t="s">
        <v>88</v>
      </c>
      <c r="C13" s="406" t="s">
        <v>27</v>
      </c>
      <c r="D13" s="410">
        <f>IFERROR(D12/D5,"-")</f>
        <v>0.52022584895155544</v>
      </c>
      <c r="E13" s="71"/>
      <c r="F13" s="388" t="str">
        <f>IFERROR(F12/F5,"-")</f>
        <v>-</v>
      </c>
      <c r="G13" s="388" t="str">
        <f t="shared" ref="G13:O13" si="4">IFERROR(G12/G5,"-")</f>
        <v>-</v>
      </c>
      <c r="H13" s="388">
        <f t="shared" si="4"/>
        <v>-0.13283439099131164</v>
      </c>
      <c r="I13" s="388">
        <f t="shared" si="4"/>
        <v>0.5334107019894645</v>
      </c>
      <c r="J13" s="388">
        <f t="shared" si="4"/>
        <v>0.53948932732555288</v>
      </c>
      <c r="K13" s="388">
        <f t="shared" si="4"/>
        <v>0.54543245391406181</v>
      </c>
      <c r="L13" s="388">
        <f t="shared" si="4"/>
        <v>0.55202717034908821</v>
      </c>
      <c r="M13" s="388">
        <f t="shared" si="4"/>
        <v>0.5647796223324173</v>
      </c>
      <c r="N13" s="388">
        <f t="shared" si="4"/>
        <v>0.57082582528994152</v>
      </c>
      <c r="O13" s="388">
        <f t="shared" si="4"/>
        <v>0.60174875464556665</v>
      </c>
      <c r="P13" s="715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t="28.5" x14ac:dyDescent="0.25">
      <c r="A14" s="149"/>
      <c r="B14" s="398" t="s">
        <v>153</v>
      </c>
      <c r="C14" s="270" t="s">
        <v>19</v>
      </c>
      <c r="D14" s="385">
        <f>SUM(F14:O14)</f>
        <v>-112907.22975533908</v>
      </c>
      <c r="E14" s="71"/>
      <c r="F14" s="385">
        <f t="shared" ref="F14:O14" si="5">SUM(F15:F16)</f>
        <v>-3905.52</v>
      </c>
      <c r="G14" s="385">
        <f t="shared" si="5"/>
        <v>-3995.6524799999997</v>
      </c>
      <c r="H14" s="385">
        <f t="shared" si="5"/>
        <v>-11963.84441856</v>
      </c>
      <c r="I14" s="385">
        <f t="shared" si="5"/>
        <v>-12282.818217861119</v>
      </c>
      <c r="J14" s="385">
        <f t="shared" si="5"/>
        <v>-12610.40430974337</v>
      </c>
      <c r="K14" s="385">
        <f t="shared" si="5"/>
        <v>-12946.835226106439</v>
      </c>
      <c r="L14" s="385">
        <f t="shared" si="5"/>
        <v>-13279.552941985206</v>
      </c>
      <c r="M14" s="385">
        <f t="shared" si="5"/>
        <v>-13620.921318476823</v>
      </c>
      <c r="N14" s="385">
        <f t="shared" si="5"/>
        <v>-13971.16527275722</v>
      </c>
      <c r="O14" s="385">
        <f t="shared" si="5"/>
        <v>-14330.515569848907</v>
      </c>
      <c r="P14" s="385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t="30" x14ac:dyDescent="0.25">
      <c r="A15" s="226" t="str" cm="1">
        <f t="array" aca="1" ref="A15" ca="1">HYPERLINK(CELL("адрес",Персонал!A31),"источник")</f>
        <v>источник</v>
      </c>
      <c r="B15" s="395" t="s">
        <v>155</v>
      </c>
      <c r="C15" s="270" t="s">
        <v>19</v>
      </c>
      <c r="D15" s="409">
        <f>SUM(F15:O15)</f>
        <v>-111407.22975533908</v>
      </c>
      <c r="E15" s="71"/>
      <c r="F15" s="135">
        <f>-Персонал!F31</f>
        <v>-3755.52</v>
      </c>
      <c r="G15" s="135">
        <f>-Персонал!G31</f>
        <v>-3845.6524799999997</v>
      </c>
      <c r="H15" s="135">
        <f>-Персонал!H31</f>
        <v>-11813.84441856</v>
      </c>
      <c r="I15" s="135">
        <f>-Персонал!I31</f>
        <v>-12132.818217861119</v>
      </c>
      <c r="J15" s="135">
        <f>-Персонал!J31</f>
        <v>-12460.40430974337</v>
      </c>
      <c r="K15" s="135">
        <f>-Персонал!K31</f>
        <v>-12796.835226106439</v>
      </c>
      <c r="L15" s="135">
        <f>-Персонал!L31</f>
        <v>-13129.552941985206</v>
      </c>
      <c r="M15" s="135">
        <f>-Персонал!M31</f>
        <v>-13470.921318476823</v>
      </c>
      <c r="N15" s="135">
        <f>-Персонал!N31</f>
        <v>-13821.16527275722</v>
      </c>
      <c r="O15" s="135">
        <f>-Персонал!O31</f>
        <v>-14180.515569848907</v>
      </c>
      <c r="P15" s="714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30" x14ac:dyDescent="0.25">
      <c r="A16" s="226" t="str" cm="1">
        <f t="array" aca="1" ref="A16" ca="1">HYPERLINK(CELL("адрес",АдмРасходы!A5),"источник")</f>
        <v>источник</v>
      </c>
      <c r="B16" s="395" t="s">
        <v>154</v>
      </c>
      <c r="C16" s="270" t="s">
        <v>19</v>
      </c>
      <c r="D16" s="409">
        <f>SUM(F16:O16)</f>
        <v>-1500</v>
      </c>
      <c r="E16" s="71"/>
      <c r="F16" s="135">
        <f>-АдмРасходы!F5</f>
        <v>-150</v>
      </c>
      <c r="G16" s="135">
        <f>-АдмРасходы!G5</f>
        <v>-150</v>
      </c>
      <c r="H16" s="135">
        <f>-АдмРасходы!H5</f>
        <v>-150</v>
      </c>
      <c r="I16" s="135">
        <f>-АдмРасходы!I5</f>
        <v>-150</v>
      </c>
      <c r="J16" s="135">
        <f>-АдмРасходы!J5</f>
        <v>-150</v>
      </c>
      <c r="K16" s="135">
        <f>-АдмРасходы!K5</f>
        <v>-150</v>
      </c>
      <c r="L16" s="135">
        <f>-АдмРасходы!L5</f>
        <v>-150</v>
      </c>
      <c r="M16" s="135">
        <f>-АдмРасходы!M5</f>
        <v>-150</v>
      </c>
      <c r="N16" s="135">
        <f>-АдмРасходы!N5</f>
        <v>-150</v>
      </c>
      <c r="O16" s="135">
        <f>-АдмРасходы!O5</f>
        <v>-150</v>
      </c>
      <c r="P16" s="714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t="15.75" thickBot="1" x14ac:dyDescent="0.3">
      <c r="A17" s="149"/>
      <c r="B17" s="396" t="s">
        <v>89</v>
      </c>
      <c r="C17" s="270" t="s">
        <v>19</v>
      </c>
      <c r="D17" s="387">
        <f>D12+D14</f>
        <v>370785.00422257569</v>
      </c>
      <c r="E17" s="71"/>
      <c r="F17" s="387">
        <f t="shared" ref="F17:O17" si="6">F12+F14</f>
        <v>-8890.52</v>
      </c>
      <c r="G17" s="387">
        <f t="shared" si="6"/>
        <v>-9177.4524799999999</v>
      </c>
      <c r="H17" s="387">
        <f t="shared" si="6"/>
        <v>-17081.953503455239</v>
      </c>
      <c r="I17" s="387">
        <f t="shared" si="6"/>
        <v>47907.245394630052</v>
      </c>
      <c r="J17" s="387">
        <f t="shared" si="6"/>
        <v>50700.610413488648</v>
      </c>
      <c r="K17" s="387">
        <f t="shared" si="6"/>
        <v>53621.965278488788</v>
      </c>
      <c r="L17" s="387">
        <f t="shared" si="6"/>
        <v>56789.064656537099</v>
      </c>
      <c r="M17" s="387">
        <f t="shared" si="6"/>
        <v>60933.851871414772</v>
      </c>
      <c r="N17" s="387">
        <f t="shared" si="6"/>
        <v>64395.86459644491</v>
      </c>
      <c r="O17" s="387">
        <f t="shared" si="6"/>
        <v>71586.32799502663</v>
      </c>
      <c r="P17" s="246"/>
      <c r="Q17" s="159"/>
    </row>
    <row r="18" spans="1:17" x14ac:dyDescent="0.25">
      <c r="A18" s="149"/>
      <c r="B18" s="399" t="s">
        <v>90</v>
      </c>
      <c r="C18" s="406" t="s">
        <v>27</v>
      </c>
      <c r="D18" s="410">
        <f>IFERROR(D17/D5,"-")</f>
        <v>0.39879065664098073</v>
      </c>
      <c r="E18" s="71"/>
      <c r="F18" s="388" t="str">
        <f t="shared" ref="F18:O18" si="7">IFERROR(F17/F5,"-")</f>
        <v>-</v>
      </c>
      <c r="G18" s="388" t="str">
        <f t="shared" si="7"/>
        <v>-</v>
      </c>
      <c r="H18" s="388">
        <f t="shared" si="7"/>
        <v>-0.44334164296535788</v>
      </c>
      <c r="I18" s="388">
        <f t="shared" si="7"/>
        <v>0.42455906943131916</v>
      </c>
      <c r="J18" s="388">
        <f t="shared" si="7"/>
        <v>0.43203285125883345</v>
      </c>
      <c r="K18" s="388">
        <f t="shared" si="7"/>
        <v>0.43935236753322354</v>
      </c>
      <c r="L18" s="388">
        <f t="shared" si="7"/>
        <v>0.44740581081166814</v>
      </c>
      <c r="M18" s="388">
        <f t="shared" si="7"/>
        <v>0.46159617117396179</v>
      </c>
      <c r="N18" s="388">
        <f t="shared" si="7"/>
        <v>0.469059789746747</v>
      </c>
      <c r="O18" s="388">
        <f t="shared" si="7"/>
        <v>0.50137996152208553</v>
      </c>
      <c r="P18" s="715"/>
      <c r="Q18" s="159"/>
    </row>
    <row r="19" spans="1:17" x14ac:dyDescent="0.25">
      <c r="A19" s="149"/>
      <c r="B19" s="91" t="s">
        <v>93</v>
      </c>
      <c r="C19" s="270" t="s">
        <v>19</v>
      </c>
      <c r="D19" s="411">
        <f t="shared" ref="D19:D24" si="8">SUM(F19:O19)</f>
        <v>0</v>
      </c>
      <c r="E19" s="7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390"/>
      <c r="Q19" s="159"/>
    </row>
    <row r="20" spans="1:17" x14ac:dyDescent="0.25">
      <c r="A20" s="226" t="str" cm="1">
        <f t="array" aca="1" ref="A20" ca="1">HYPERLINK(CELL("адрес",Финансы!A25),"источник")</f>
        <v>источник</v>
      </c>
      <c r="B20" s="91" t="s">
        <v>94</v>
      </c>
      <c r="C20" s="270" t="s">
        <v>19</v>
      </c>
      <c r="D20" s="411">
        <f t="shared" ca="1" si="8"/>
        <v>-51300</v>
      </c>
      <c r="E20" s="71"/>
      <c r="F20" s="231">
        <f ca="1">-Финансы!F25</f>
        <v>0</v>
      </c>
      <c r="G20" s="231">
        <f ca="1">-Финансы!G25</f>
        <v>-5700</v>
      </c>
      <c r="H20" s="231">
        <f ca="1">-Финансы!H25</f>
        <v>-10687.5</v>
      </c>
      <c r="I20" s="231">
        <f ca="1">-Финансы!I25</f>
        <v>-9262.5</v>
      </c>
      <c r="J20" s="231">
        <f ca="1">-Финансы!J25</f>
        <v>-7837.5</v>
      </c>
      <c r="K20" s="231">
        <f ca="1">-Финансы!K25</f>
        <v>-6412.5</v>
      </c>
      <c r="L20" s="231">
        <f ca="1">-Финансы!L25</f>
        <v>-4987.5</v>
      </c>
      <c r="M20" s="231">
        <f ca="1">-Финансы!M25</f>
        <v>-3562.5</v>
      </c>
      <c r="N20" s="231">
        <f ca="1">-Финансы!N25</f>
        <v>-2137.5</v>
      </c>
      <c r="O20" s="231">
        <f ca="1">-Финансы!O25</f>
        <v>-712.5</v>
      </c>
      <c r="P20" s="390"/>
      <c r="Q20" s="159"/>
    </row>
    <row r="21" spans="1:17" x14ac:dyDescent="0.25">
      <c r="A21" s="226" t="str" cm="1">
        <f t="array" aca="1" ref="A21" ca="1">HYPERLINK(CELL("адрес",ПрочДоходы!A5),"источник")</f>
        <v>источник</v>
      </c>
      <c r="B21" s="91" t="s">
        <v>91</v>
      </c>
      <c r="C21" s="270" t="s">
        <v>19</v>
      </c>
      <c r="D21" s="411">
        <f t="shared" si="8"/>
        <v>560</v>
      </c>
      <c r="E21" s="71"/>
      <c r="F21" s="231">
        <f>ПрочДоходы!F5</f>
        <v>0</v>
      </c>
      <c r="G21" s="231">
        <f>ПрочДоходы!G5</f>
        <v>0</v>
      </c>
      <c r="H21" s="231">
        <f>ПрочДоходы!H5</f>
        <v>70</v>
      </c>
      <c r="I21" s="231">
        <f>ПрочДоходы!I5</f>
        <v>70</v>
      </c>
      <c r="J21" s="231">
        <f>ПрочДоходы!J5</f>
        <v>70</v>
      </c>
      <c r="K21" s="231">
        <f>ПрочДоходы!K5</f>
        <v>70</v>
      </c>
      <c r="L21" s="231">
        <f>ПрочДоходы!L5</f>
        <v>70</v>
      </c>
      <c r="M21" s="231">
        <f>ПрочДоходы!M5</f>
        <v>70</v>
      </c>
      <c r="N21" s="231">
        <f>ПрочДоходы!N5</f>
        <v>70</v>
      </c>
      <c r="O21" s="231">
        <f>ПрочДоходы!O5</f>
        <v>70</v>
      </c>
      <c r="P21" s="390"/>
      <c r="Q21" s="159"/>
    </row>
    <row r="22" spans="1:17" x14ac:dyDescent="0.25">
      <c r="A22" s="226" t="str" cm="1">
        <f t="array" aca="1" ref="A22" ca="1">HYPERLINK(CELL("адрес",ПрочРасходы!A5),"источник")</f>
        <v>источник</v>
      </c>
      <c r="B22" s="91" t="s">
        <v>92</v>
      </c>
      <c r="C22" s="270" t="s">
        <v>19</v>
      </c>
      <c r="D22" s="411">
        <f t="shared" si="8"/>
        <v>-200</v>
      </c>
      <c r="E22" s="71"/>
      <c r="F22" s="231">
        <f>-ПрочРасходы!F5</f>
        <v>-20</v>
      </c>
      <c r="G22" s="231">
        <f>-ПрочРасходы!G5</f>
        <v>-20</v>
      </c>
      <c r="H22" s="231">
        <f>-ПрочРасходы!H5</f>
        <v>-20</v>
      </c>
      <c r="I22" s="231">
        <f>-ПрочРасходы!I5</f>
        <v>-20</v>
      </c>
      <c r="J22" s="231">
        <f>-ПрочРасходы!J5</f>
        <v>-20</v>
      </c>
      <c r="K22" s="231">
        <f>-ПрочРасходы!K5</f>
        <v>-20</v>
      </c>
      <c r="L22" s="231">
        <f>-ПрочРасходы!L5</f>
        <v>-20</v>
      </c>
      <c r="M22" s="231">
        <f>-ПрочРасходы!M5</f>
        <v>-20</v>
      </c>
      <c r="N22" s="231">
        <f>-ПрочРасходы!N5</f>
        <v>-20</v>
      </c>
      <c r="O22" s="231">
        <f>-ПрочРасходы!O5</f>
        <v>-20</v>
      </c>
      <c r="P22" s="390"/>
      <c r="Q22" s="159"/>
    </row>
    <row r="23" spans="1:17" x14ac:dyDescent="0.25">
      <c r="A23" s="226"/>
      <c r="B23" s="400" t="s">
        <v>363</v>
      </c>
      <c r="C23" s="270" t="s">
        <v>19</v>
      </c>
      <c r="D23" s="411">
        <f t="shared" si="8"/>
        <v>0</v>
      </c>
      <c r="E23" s="71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90"/>
      <c r="Q23" s="159"/>
    </row>
    <row r="24" spans="1:17" x14ac:dyDescent="0.25">
      <c r="A24" s="226" t="str" cm="1">
        <f t="array" aca="1" ref="A24" ca="1">HYPERLINK(CELL("адрес",НалИмущество!A13),"источник")</f>
        <v>источник</v>
      </c>
      <c r="B24" s="400" t="s">
        <v>364</v>
      </c>
      <c r="C24" s="270" t="s">
        <v>19</v>
      </c>
      <c r="D24" s="411">
        <f t="shared" si="8"/>
        <v>-7683.4999999999973</v>
      </c>
      <c r="E24" s="71"/>
      <c r="F24" s="389">
        <f>-НалИмущество!F13</f>
        <v>-201.66666666666663</v>
      </c>
      <c r="G24" s="389">
        <f>-НалИмущество!G13</f>
        <v>-705.83333333333314</v>
      </c>
      <c r="H24" s="389">
        <f>-НалИмущество!H13</f>
        <v>-988.1666666666664</v>
      </c>
      <c r="I24" s="389">
        <f>-НалИмущество!I13</f>
        <v>-947.83333333333314</v>
      </c>
      <c r="J24" s="389">
        <f>-НалИмущество!J13</f>
        <v>-907.49999999999966</v>
      </c>
      <c r="K24" s="389">
        <f>-НалИмущество!K13</f>
        <v>-867.1666666666664</v>
      </c>
      <c r="L24" s="389">
        <f>-НалИмущество!L13</f>
        <v>-826.8333333333328</v>
      </c>
      <c r="M24" s="389">
        <f>-НалИмущество!M13</f>
        <v>-786.49999999999966</v>
      </c>
      <c r="N24" s="389">
        <f>-НалИмущество!N13</f>
        <v>-746.16666666666606</v>
      </c>
      <c r="O24" s="389">
        <f>-НалИмущество!O13</f>
        <v>-705.83333333333292</v>
      </c>
      <c r="P24" s="390"/>
      <c r="Q24" s="159"/>
    </row>
    <row r="25" spans="1:17" ht="29.25" thickBot="1" x14ac:dyDescent="0.3">
      <c r="A25" s="149"/>
      <c r="B25" s="396" t="s">
        <v>95</v>
      </c>
      <c r="C25" s="270" t="s">
        <v>19</v>
      </c>
      <c r="D25" s="387">
        <f ca="1">D17+SUM(D19:D24)</f>
        <v>312161.50422257569</v>
      </c>
      <c r="E25" s="71"/>
      <c r="F25" s="387">
        <f ca="1">F17+SUM(F19:F24)</f>
        <v>-9112.1866666666665</v>
      </c>
      <c r="G25" s="387">
        <f t="shared" ref="G25:O25" ca="1" si="9">G17+SUM(G19:G24)</f>
        <v>-15603.285813333332</v>
      </c>
      <c r="H25" s="387">
        <f t="shared" ca="1" si="9"/>
        <v>-28707.620170121903</v>
      </c>
      <c r="I25" s="387">
        <f t="shared" ca="1" si="9"/>
        <v>37746.912061296716</v>
      </c>
      <c r="J25" s="387">
        <f t="shared" ca="1" si="9"/>
        <v>42005.610413488648</v>
      </c>
      <c r="K25" s="387">
        <f t="shared" ca="1" si="9"/>
        <v>46392.298611822123</v>
      </c>
      <c r="L25" s="387">
        <f t="shared" ca="1" si="9"/>
        <v>51024.731323203763</v>
      </c>
      <c r="M25" s="387">
        <f t="shared" ca="1" si="9"/>
        <v>56634.851871414772</v>
      </c>
      <c r="N25" s="387">
        <f t="shared" ca="1" si="9"/>
        <v>61562.197929778245</v>
      </c>
      <c r="O25" s="387">
        <f t="shared" ca="1" si="9"/>
        <v>70217.994661693301</v>
      </c>
      <c r="P25" s="246"/>
      <c r="Q25" s="159"/>
    </row>
    <row r="26" spans="1:17" ht="30" x14ac:dyDescent="0.25">
      <c r="A26" s="149"/>
      <c r="B26" s="399" t="s">
        <v>96</v>
      </c>
      <c r="C26" s="406" t="s">
        <v>27</v>
      </c>
      <c r="D26" s="410">
        <f ca="1">IFERROR(D25/D5,"-")</f>
        <v>0.33573928241237566</v>
      </c>
      <c r="E26" s="71"/>
      <c r="F26" s="388" t="str">
        <f t="shared" ref="F26:O26" ca="1" si="10">IFERROR(F25/F5,"-")</f>
        <v>-</v>
      </c>
      <c r="G26" s="388" t="str">
        <f t="shared" ca="1" si="10"/>
        <v>-</v>
      </c>
      <c r="H26" s="388">
        <f t="shared" ca="1" si="10"/>
        <v>-0.74507189644749294</v>
      </c>
      <c r="I26" s="388">
        <f t="shared" ca="1" si="10"/>
        <v>0.3345171221313073</v>
      </c>
      <c r="J26" s="388">
        <f t="shared" ca="1" si="10"/>
        <v>0.35794053538612058</v>
      </c>
      <c r="K26" s="388">
        <f t="shared" ca="1" si="10"/>
        <v>0.38011598650952627</v>
      </c>
      <c r="L26" s="388">
        <f t="shared" ca="1" si="10"/>
        <v>0.40199220443539452</v>
      </c>
      <c r="M26" s="388">
        <f t="shared" ca="1" si="10"/>
        <v>0.42902967687019722</v>
      </c>
      <c r="N26" s="388">
        <f t="shared" ca="1" si="10"/>
        <v>0.44841934801638766</v>
      </c>
      <c r="O26" s="388">
        <f t="shared" ca="1" si="10"/>
        <v>0.49179635899307034</v>
      </c>
      <c r="P26" s="715"/>
      <c r="Q26" s="159"/>
    </row>
    <row r="27" spans="1:17" x14ac:dyDescent="0.25">
      <c r="A27" s="393" t="str" cm="1">
        <f t="array" aca="1" ref="A27" ca="1">HYPERLINK(CELL("адрес",НалПрибыль!A15),"источник")</f>
        <v>источник</v>
      </c>
      <c r="B27" s="91" t="s">
        <v>97</v>
      </c>
      <c r="C27" s="270" t="s">
        <v>19</v>
      </c>
      <c r="D27" s="411">
        <f ca="1">SUM(F27:O27)</f>
        <v>-62432.300844515135</v>
      </c>
      <c r="E27" s="71"/>
      <c r="F27" s="231">
        <f ca="1">-НалПрибыль!F15</f>
        <v>1822.4373333333333</v>
      </c>
      <c r="G27" s="231">
        <f ca="1">-НалПрибыль!G15</f>
        <v>3120.6571626666664</v>
      </c>
      <c r="H27" s="231">
        <f ca="1">-НалПрибыль!H15</f>
        <v>5741.5240340243809</v>
      </c>
      <c r="I27" s="231">
        <f ca="1">-НалПрибыль!I15</f>
        <v>-7549.3824122593433</v>
      </c>
      <c r="J27" s="231">
        <f ca="1">-НалПрибыль!J15</f>
        <v>-8401.1220826977296</v>
      </c>
      <c r="K27" s="231">
        <f ca="1">-НалПрибыль!K15</f>
        <v>-9278.459722364425</v>
      </c>
      <c r="L27" s="231">
        <f ca="1">-НалПрибыль!L15</f>
        <v>-10204.946264640752</v>
      </c>
      <c r="M27" s="231">
        <f ca="1">-НалПрибыль!M15</f>
        <v>-11326.970374282955</v>
      </c>
      <c r="N27" s="231">
        <f ca="1">-НалПрибыль!N15</f>
        <v>-12312.43958595565</v>
      </c>
      <c r="O27" s="231">
        <f ca="1">-НалПрибыль!O15</f>
        <v>-14043.59893233866</v>
      </c>
      <c r="P27" s="390"/>
      <c r="Q27" s="159"/>
    </row>
    <row r="28" spans="1:17" ht="15.75" thickBot="1" x14ac:dyDescent="0.3">
      <c r="A28" s="149"/>
      <c r="B28" s="396" t="s">
        <v>100</v>
      </c>
      <c r="C28" s="270" t="s">
        <v>19</v>
      </c>
      <c r="D28" s="387">
        <f ca="1">D25+D27</f>
        <v>249729.20337806054</v>
      </c>
      <c r="E28" s="71"/>
      <c r="F28" s="387">
        <f ca="1">F25+F27</f>
        <v>-7289.7493333333332</v>
      </c>
      <c r="G28" s="387">
        <f t="shared" ref="G28:O28" ca="1" si="11">G25+G27</f>
        <v>-12482.628650666666</v>
      </c>
      <c r="H28" s="387">
        <f t="shared" ca="1" si="11"/>
        <v>-22966.096136097523</v>
      </c>
      <c r="I28" s="387">
        <f t="shared" ca="1" si="11"/>
        <v>30197.529649037373</v>
      </c>
      <c r="J28" s="387">
        <f t="shared" ca="1" si="11"/>
        <v>33604.488330790919</v>
      </c>
      <c r="K28" s="387">
        <f t="shared" ca="1" si="11"/>
        <v>37113.8388894577</v>
      </c>
      <c r="L28" s="387">
        <f t="shared" ca="1" si="11"/>
        <v>40819.785058563008</v>
      </c>
      <c r="M28" s="387">
        <f t="shared" ca="1" si="11"/>
        <v>45307.881497131821</v>
      </c>
      <c r="N28" s="387">
        <f t="shared" ca="1" si="11"/>
        <v>49249.758343822599</v>
      </c>
      <c r="O28" s="387">
        <f t="shared" ca="1" si="11"/>
        <v>56174.395729354641</v>
      </c>
      <c r="P28" s="246"/>
      <c r="Q28" s="159"/>
    </row>
    <row r="29" spans="1:17" x14ac:dyDescent="0.25">
      <c r="A29" s="149"/>
      <c r="B29" s="399" t="s">
        <v>98</v>
      </c>
      <c r="C29" s="406" t="s">
        <v>27</v>
      </c>
      <c r="D29" s="410">
        <f ca="1">IFERROR(D28/D5,"-")</f>
        <v>0.26859142592990048</v>
      </c>
      <c r="E29" s="71"/>
      <c r="F29" s="388" t="str">
        <f ca="1">IFERROR(F28/F5,"-")</f>
        <v>-</v>
      </c>
      <c r="G29" s="388" t="str">
        <f t="shared" ref="G29:O29" ca="1" si="12">IFERROR(G28/G5,"-")</f>
        <v>-</v>
      </c>
      <c r="H29" s="388">
        <f t="shared" ca="1" si="12"/>
        <v>-0.59605751715799438</v>
      </c>
      <c r="I29" s="388">
        <f t="shared" ca="1" si="12"/>
        <v>0.26761369770504584</v>
      </c>
      <c r="J29" s="388">
        <f t="shared" ca="1" si="12"/>
        <v>0.28635242830889646</v>
      </c>
      <c r="K29" s="388">
        <f t="shared" ca="1" si="12"/>
        <v>0.30409278920762101</v>
      </c>
      <c r="L29" s="388">
        <f t="shared" ca="1" si="12"/>
        <v>0.32159376354831559</v>
      </c>
      <c r="M29" s="388">
        <f t="shared" ca="1" si="12"/>
        <v>0.34322374149615781</v>
      </c>
      <c r="N29" s="388">
        <f t="shared" ca="1" si="12"/>
        <v>0.35873547841311015</v>
      </c>
      <c r="O29" s="388">
        <f t="shared" ca="1" si="12"/>
        <v>0.39343708719445625</v>
      </c>
      <c r="P29" s="715"/>
      <c r="Q29" s="159"/>
    </row>
    <row r="30" spans="1:17" x14ac:dyDescent="0.25">
      <c r="A30" s="149"/>
      <c r="B30" s="149"/>
      <c r="C30" s="407"/>
      <c r="D30" s="412"/>
      <c r="E30" s="71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71"/>
      <c r="Q30" s="159"/>
    </row>
    <row r="31" spans="1:17" ht="15.75" thickBot="1" x14ac:dyDescent="0.3">
      <c r="A31" s="149"/>
      <c r="B31" s="396" t="s">
        <v>102</v>
      </c>
      <c r="C31" s="270" t="s">
        <v>19</v>
      </c>
      <c r="D31" s="387">
        <f ca="1">D25-D10-D19-D20</f>
        <v>407294.83755590901</v>
      </c>
      <c r="E31" s="71"/>
      <c r="F31" s="387">
        <f t="shared" ref="F31:O31" ca="1" si="13">F25-F10-F19-F20</f>
        <v>-9112.1866666666665</v>
      </c>
      <c r="G31" s="387">
        <f t="shared" ca="1" si="13"/>
        <v>-9903.285813333332</v>
      </c>
      <c r="H31" s="387">
        <f t="shared" ca="1" si="13"/>
        <v>-11782.024932026667</v>
      </c>
      <c r="I31" s="387">
        <f t="shared" ca="1" si="13"/>
        <v>53247.507299391953</v>
      </c>
      <c r="J31" s="387">
        <f t="shared" ca="1" si="13"/>
        <v>56081.205651583885</v>
      </c>
      <c r="K31" s="387">
        <f t="shared" ca="1" si="13"/>
        <v>59042.89384991736</v>
      </c>
      <c r="L31" s="387">
        <f t="shared" ca="1" si="13"/>
        <v>62250.326561299</v>
      </c>
      <c r="M31" s="387">
        <f t="shared" ca="1" si="13"/>
        <v>65602.113776176673</v>
      </c>
      <c r="N31" s="387">
        <f t="shared" ca="1" si="13"/>
        <v>69104.459834540146</v>
      </c>
      <c r="O31" s="387">
        <f t="shared" ca="1" si="13"/>
        <v>72763.82799502663</v>
      </c>
      <c r="P31" s="246"/>
      <c r="Q31" s="159"/>
    </row>
    <row r="32" spans="1:17" x14ac:dyDescent="0.25">
      <c r="A32" s="149"/>
      <c r="B32" s="399" t="s">
        <v>103</v>
      </c>
      <c r="C32" s="406" t="s">
        <v>27</v>
      </c>
      <c r="D32" s="388">
        <f ca="1">IFERROR(D31/D5,"-")</f>
        <v>0.43805810339056062</v>
      </c>
      <c r="E32" s="71"/>
      <c r="F32" s="388" t="str">
        <f t="shared" ref="F32:O32" ca="1" si="14">IFERROR(F31/F5,"-")</f>
        <v>-</v>
      </c>
      <c r="G32" s="388" t="str">
        <f t="shared" ca="1" si="14"/>
        <v>-</v>
      </c>
      <c r="H32" s="388">
        <f t="shared" ca="1" si="14"/>
        <v>-0.30578834497863139</v>
      </c>
      <c r="I32" s="388">
        <f t="shared" ca="1" si="14"/>
        <v>0.4718850345568234</v>
      </c>
      <c r="J32" s="388">
        <f t="shared" ca="1" si="14"/>
        <v>0.47788227759168767</v>
      </c>
      <c r="K32" s="388">
        <f t="shared" ca="1" si="14"/>
        <v>0.48376882615640443</v>
      </c>
      <c r="L32" s="388">
        <f t="shared" ca="1" si="14"/>
        <v>0.49043170541536818</v>
      </c>
      <c r="M32" s="388">
        <f t="shared" ca="1" si="14"/>
        <v>0.49695995920138897</v>
      </c>
      <c r="N32" s="388">
        <f t="shared" ca="1" si="14"/>
        <v>0.5033572202762443</v>
      </c>
      <c r="O32" s="388">
        <f t="shared" ca="1" si="14"/>
        <v>0.50962699585430149</v>
      </c>
      <c r="P32" s="715"/>
      <c r="Q32" s="159"/>
    </row>
    <row r="33" spans="1:17" x14ac:dyDescent="0.25">
      <c r="A33" s="149"/>
      <c r="B33" s="149"/>
      <c r="C33" s="407"/>
      <c r="D33" s="412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71"/>
      <c r="Q33" s="159"/>
    </row>
    <row r="34" spans="1:17" x14ac:dyDescent="0.25">
      <c r="A34" s="149"/>
      <c r="B34" s="71"/>
      <c r="C34" s="407"/>
      <c r="D34" s="412"/>
      <c r="E34" s="71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71"/>
      <c r="Q34" s="159"/>
    </row>
    <row r="35" spans="1:17" ht="45" x14ac:dyDescent="0.25">
      <c r="A35" s="149"/>
      <c r="B35" s="91" t="s">
        <v>173</v>
      </c>
      <c r="C35" s="270"/>
      <c r="D35" s="411"/>
      <c r="E35" s="71"/>
      <c r="F35" s="231">
        <f ca="1">F28</f>
        <v>-7289.7493333333332</v>
      </c>
      <c r="G35" s="231">
        <f ca="1">F35+G28</f>
        <v>-19772.377983999999</v>
      </c>
      <c r="H35" s="231">
        <f t="shared" ref="H35:O35" ca="1" si="15">G35+H28</f>
        <v>-42738.474120097526</v>
      </c>
      <c r="I35" s="231">
        <f t="shared" ca="1" si="15"/>
        <v>-12540.944471060153</v>
      </c>
      <c r="J35" s="231">
        <f t="shared" ca="1" si="15"/>
        <v>21063.543859730766</v>
      </c>
      <c r="K35" s="231">
        <f t="shared" ca="1" si="15"/>
        <v>58177.382749188466</v>
      </c>
      <c r="L35" s="231">
        <f t="shared" ca="1" si="15"/>
        <v>98997.167807751481</v>
      </c>
      <c r="M35" s="231">
        <f t="shared" ca="1" si="15"/>
        <v>144305.04930488329</v>
      </c>
      <c r="N35" s="231">
        <f t="shared" ca="1" si="15"/>
        <v>193554.8076487059</v>
      </c>
      <c r="O35" s="231">
        <f t="shared" ca="1" si="15"/>
        <v>249729.20337806054</v>
      </c>
      <c r="P35" s="390"/>
      <c r="Q35" s="159"/>
    </row>
    <row r="36" spans="1:17" x14ac:dyDescent="0.25">
      <c r="A36" s="71"/>
      <c r="B36" s="71"/>
      <c r="C36" s="404"/>
      <c r="D36" s="124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159"/>
    </row>
    <row r="37" spans="1:17" x14ac:dyDescent="0.25">
      <c r="A37" s="71"/>
      <c r="B37" s="71" t="s">
        <v>318</v>
      </c>
      <c r="C37" s="404"/>
      <c r="D37" s="124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59"/>
    </row>
    <row r="38" spans="1:17" x14ac:dyDescent="0.25">
      <c r="A38" s="324" t="str" cm="1">
        <f t="array" aca="1" ref="A38" ca="1">HYPERLINK(CELL("адрес",БДР!A28),"источник")</f>
        <v>источник</v>
      </c>
      <c r="B38" s="71" t="s">
        <v>319</v>
      </c>
      <c r="C38" s="707" t="s">
        <v>19</v>
      </c>
      <c r="D38" s="411">
        <f ca="1">SUM(F38:O38)</f>
        <v>350246.43353450083</v>
      </c>
      <c r="E38" s="71"/>
      <c r="F38" s="231">
        <f ca="1">БДР!F28</f>
        <v>-8088.8024000000014</v>
      </c>
      <c r="G38" s="231">
        <f ca="1">БДР!G28</f>
        <v>-13940.5520576</v>
      </c>
      <c r="H38" s="231">
        <f ca="1">БДР!H28</f>
        <v>-26755.657777829871</v>
      </c>
      <c r="I38" s="231">
        <f ca="1">БДР!I28</f>
        <v>38506.371121993732</v>
      </c>
      <c r="J38" s="231">
        <f ca="1">БДР!J28</f>
        <v>43638.231230960402</v>
      </c>
      <c r="K38" s="231">
        <f ca="1">БДР!K28</f>
        <v>52400.17152035558</v>
      </c>
      <c r="L38" s="231">
        <f ca="1">БДР!L28</f>
        <v>60583.711275076268</v>
      </c>
      <c r="M38" s="231">
        <f ca="1">БДР!M28</f>
        <v>65413.914704693132</v>
      </c>
      <c r="N38" s="231">
        <f ca="1">БДР!N28</f>
        <v>66804.904702072221</v>
      </c>
      <c r="O38" s="231">
        <f ca="1">БДР!O28</f>
        <v>71684.14121477936</v>
      </c>
      <c r="P38" s="390"/>
      <c r="Q38" s="159"/>
    </row>
    <row r="39" spans="1:17" x14ac:dyDescent="0.25">
      <c r="A39" s="71"/>
      <c r="B39" s="71" t="s">
        <v>320</v>
      </c>
      <c r="C39" s="707" t="s">
        <v>19</v>
      </c>
      <c r="D39" s="411">
        <f ca="1">SUM(F39:O39)</f>
        <v>249729.20337806054</v>
      </c>
      <c r="E39" s="71"/>
      <c r="F39" s="231">
        <f t="shared" ref="F39:O39" ca="1" si="16">F28</f>
        <v>-7289.7493333333332</v>
      </c>
      <c r="G39" s="231">
        <f t="shared" ca="1" si="16"/>
        <v>-12482.628650666666</v>
      </c>
      <c r="H39" s="231">
        <f t="shared" ca="1" si="16"/>
        <v>-22966.096136097523</v>
      </c>
      <c r="I39" s="231">
        <f t="shared" ca="1" si="16"/>
        <v>30197.529649037373</v>
      </c>
      <c r="J39" s="231">
        <f t="shared" ca="1" si="16"/>
        <v>33604.488330790919</v>
      </c>
      <c r="K39" s="231">
        <f t="shared" ca="1" si="16"/>
        <v>37113.8388894577</v>
      </c>
      <c r="L39" s="231">
        <f t="shared" ca="1" si="16"/>
        <v>40819.785058563008</v>
      </c>
      <c r="M39" s="231">
        <f t="shared" ca="1" si="16"/>
        <v>45307.881497131821</v>
      </c>
      <c r="N39" s="231">
        <f t="shared" ca="1" si="16"/>
        <v>49249.758343822599</v>
      </c>
      <c r="O39" s="231">
        <f t="shared" ca="1" si="16"/>
        <v>56174.395729354641</v>
      </c>
      <c r="P39" s="390"/>
      <c r="Q39" s="159"/>
    </row>
    <row r="40" spans="1:17" x14ac:dyDescent="0.25">
      <c r="A40" s="71"/>
      <c r="B40" s="71" t="s">
        <v>321</v>
      </c>
      <c r="C40" s="707" t="s">
        <v>19</v>
      </c>
      <c r="D40" s="231">
        <f ca="1">D38-D39</f>
        <v>100517.23015644029</v>
      </c>
      <c r="E40" s="71"/>
      <c r="F40" s="231">
        <f t="shared" ref="F40:O40" ca="1" si="17">F38-F39</f>
        <v>-799.0530666666682</v>
      </c>
      <c r="G40" s="231">
        <f t="shared" ca="1" si="17"/>
        <v>-1457.9234069333343</v>
      </c>
      <c r="H40" s="231">
        <f t="shared" ca="1" si="17"/>
        <v>-3789.5616417323472</v>
      </c>
      <c r="I40" s="231">
        <f t="shared" ca="1" si="17"/>
        <v>8308.8414729563592</v>
      </c>
      <c r="J40" s="231">
        <f t="shared" ca="1" si="17"/>
        <v>10033.742900169484</v>
      </c>
      <c r="K40" s="231">
        <f t="shared" ca="1" si="17"/>
        <v>15286.332630897879</v>
      </c>
      <c r="L40" s="231">
        <f t="shared" ca="1" si="17"/>
        <v>19763.92621651326</v>
      </c>
      <c r="M40" s="231">
        <f t="shared" ca="1" si="17"/>
        <v>20106.033207561311</v>
      </c>
      <c r="N40" s="231">
        <f t="shared" ca="1" si="17"/>
        <v>17555.146358249622</v>
      </c>
      <c r="O40" s="231">
        <f t="shared" ca="1" si="17"/>
        <v>15509.745485424719</v>
      </c>
      <c r="P40" s="390"/>
      <c r="Q40" s="159"/>
    </row>
    <row r="41" spans="1:17" x14ac:dyDescent="0.25">
      <c r="A41" s="71"/>
      <c r="B41" s="71" t="s">
        <v>321</v>
      </c>
      <c r="C41" s="708" t="s">
        <v>27</v>
      </c>
      <c r="D41" s="709">
        <f ca="1">D40/D38</f>
        <v>0.28699001769146892</v>
      </c>
      <c r="E41" s="71"/>
      <c r="F41" s="709">
        <f ca="1">F40/F38</f>
        <v>9.8785089207602358E-2</v>
      </c>
      <c r="G41" s="709">
        <f t="shared" ref="G41:O41" ca="1" si="18">G40/G38</f>
        <v>0.10458146857523588</v>
      </c>
      <c r="H41" s="709">
        <f t="shared" ca="1" si="18"/>
        <v>0.14163589896386078</v>
      </c>
      <c r="I41" s="709">
        <f t="shared" ca="1" si="18"/>
        <v>0.21577835643438723</v>
      </c>
      <c r="J41" s="709">
        <f t="shared" ca="1" si="18"/>
        <v>0.22993010067398781</v>
      </c>
      <c r="K41" s="709">
        <f t="shared" ca="1" si="18"/>
        <v>0.29172295027621598</v>
      </c>
      <c r="L41" s="709">
        <f t="shared" ca="1" si="18"/>
        <v>0.32622508262619437</v>
      </c>
      <c r="M41" s="709">
        <f t="shared" ca="1" si="18"/>
        <v>0.30736630422332456</v>
      </c>
      <c r="N41" s="709">
        <f t="shared" ca="1" si="18"/>
        <v>0.26278229774504985</v>
      </c>
      <c r="O41" s="709">
        <f t="shared" ca="1" si="18"/>
        <v>0.21636229747043439</v>
      </c>
      <c r="P41" s="726"/>
      <c r="Q41" s="159"/>
    </row>
    <row r="42" spans="1:17" x14ac:dyDescent="0.25">
      <c r="A42" s="71"/>
      <c r="B42" s="71"/>
      <c r="C42" s="636"/>
      <c r="D42" s="124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4" spans="1:17" x14ac:dyDescent="0.25">
      <c r="A44" s="71"/>
      <c r="B44" s="71"/>
      <c r="C44" s="404"/>
      <c r="D44" s="124"/>
      <c r="E44" s="71"/>
      <c r="F44" s="149" t="str">
        <f ca="1">CONCATENATE("БДР. Выручка: ",ROUND(D5,0)," ",C5,". Чистая прибыль: ",ROUND(D28,0)," ",C28)</f>
        <v>БДР. Выручка: 929774 тыс.руб.. Чистая прибыль: 249729 тыс.руб.</v>
      </c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1:17" x14ac:dyDescent="0.25">
      <c r="A45" s="71"/>
      <c r="B45" s="71"/>
      <c r="C45" s="404"/>
      <c r="D45" s="124"/>
      <c r="E45" s="71"/>
      <c r="F45" s="71" t="str">
        <f ca="1">CONCATENATE("БДР. Рентабельность продаж: ",ROUND(D18*100,0)," ",C18,". Рентабельность по чистой прибыли: ",ROUND(D29*100,0)," ",C29)</f>
        <v>БДР. Рентабельность продаж: 40 %. Рентабельность по чистой прибыли: 27 %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</sheetData>
  <hyperlinks>
    <hyperlink ref="I1" location="Контроль!A1" display="Контроль!A1" xr:uid="{E75AD38F-3E27-4317-90C3-12FEFCBA332A}"/>
  </hyperlinks>
  <pageMargins left="0.70866141732283472" right="0.70866141732283472" top="0.74803149606299213" bottom="0.74803149606299213" header="0.31496062992125984" footer="0.31496062992125984"/>
  <pageSetup paperSize="9" scale="66" fitToHeight="7" orientation="landscape" r:id="rId1"/>
  <headerFooter>
    <oddFooter>&amp;C&amp;9Страница  &amp;P из &amp;N&amp;R&amp;G</oddFooter>
  </headerFooter>
  <rowBreaks count="1" manualBreakCount="1">
    <brk id="42" max="16383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D1283-F245-48CE-9245-28F6C4575CBE}">
  <sheetPr codeName="Лист37">
    <tabColor theme="7" tint="0.39997558519241921"/>
    <outlinePr summaryBelow="0" summaryRight="0"/>
    <pageSetUpPr fitToPage="1"/>
  </sheetPr>
  <dimension ref="A1:AD191"/>
  <sheetViews>
    <sheetView zoomScaleNormal="100" workbookViewId="0">
      <pane xSplit="4" ySplit="4" topLeftCell="E5" activePane="bottomRight" state="frozen"/>
      <selection activeCell="J32" sqref="J32"/>
      <selection pane="topRight" activeCell="J32" sqref="J32"/>
      <selection pane="bottomLeft" activeCell="J32" sqref="J32"/>
      <selection pane="bottomRight" activeCell="Q29" sqref="Q29"/>
    </sheetView>
  </sheetViews>
  <sheetFormatPr defaultRowHeight="15" outlineLevelRow="1" outlineLevelCol="1" x14ac:dyDescent="0.25"/>
  <cols>
    <col min="1" max="1" width="9.140625" customWidth="1"/>
    <col min="2" max="2" width="39" customWidth="1"/>
    <col min="3" max="3" width="9.5703125" style="3" customWidth="1"/>
    <col min="4" max="4" width="11" customWidth="1"/>
    <col min="5" max="5" width="2.28515625" customWidth="1"/>
    <col min="6" max="15" width="10.5703125" customWidth="1"/>
    <col min="16" max="16" width="2.28515625" customWidth="1"/>
    <col min="17" max="17" width="2.85546875" customWidth="1" collapsed="1"/>
    <col min="18" max="27" width="8.85546875" hidden="1" customWidth="1" outlineLevel="1"/>
    <col min="28" max="28" width="1.5703125" customWidth="1"/>
    <col min="29" max="29" width="5" customWidth="1"/>
  </cols>
  <sheetData>
    <row r="1" spans="1:30" ht="25.5" x14ac:dyDescent="0.25">
      <c r="A1" s="693" t="s">
        <v>315</v>
      </c>
      <c r="B1" s="71"/>
      <c r="C1" s="428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71"/>
      <c r="C2" s="428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ht="28.5" x14ac:dyDescent="0.25">
      <c r="A3" s="417" t="s">
        <v>2</v>
      </c>
      <c r="B3" s="127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41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x14ac:dyDescent="0.25">
      <c r="A5" s="211"/>
      <c r="B5" s="87" t="s">
        <v>85</v>
      </c>
      <c r="C5" s="270" t="s">
        <v>19</v>
      </c>
      <c r="D5" s="431">
        <v>0</v>
      </c>
      <c r="E5" s="71"/>
      <c r="F5" s="230">
        <v>0</v>
      </c>
      <c r="G5" s="230">
        <f ca="1">F58</f>
        <v>4376.917333333331</v>
      </c>
      <c r="H5" s="230">
        <f t="shared" ref="H5:O5" ca="1" si="2">G58</f>
        <v>30227.622015999994</v>
      </c>
      <c r="I5" s="230">
        <f t="shared" ca="1" si="2"/>
        <v>1624.6211179976963</v>
      </c>
      <c r="J5" s="230">
        <f t="shared" ca="1" si="2"/>
        <v>26185.246005130291</v>
      </c>
      <c r="K5" s="230">
        <f t="shared" ca="1" si="2"/>
        <v>54152.829574016447</v>
      </c>
      <c r="L5" s="230">
        <f t="shared" ca="1" si="2"/>
        <v>85629.763701569376</v>
      </c>
      <c r="M5" s="230">
        <f t="shared" ca="1" si="2"/>
        <v>120812.64399822762</v>
      </c>
      <c r="N5" s="230">
        <f t="shared" ca="1" si="2"/>
        <v>159650.28740012133</v>
      </c>
      <c r="O5" s="230">
        <f t="shared" ca="1" si="2"/>
        <v>202429.80764870584</v>
      </c>
      <c r="P5" s="386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x14ac:dyDescent="0.25">
      <c r="A6" s="419" t="s">
        <v>69</v>
      </c>
      <c r="B6" s="78"/>
      <c r="C6" s="429"/>
      <c r="D6" s="432"/>
      <c r="E6" s="71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716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x14ac:dyDescent="0.25">
      <c r="A7" s="420"/>
      <c r="B7" s="423" t="s">
        <v>72</v>
      </c>
      <c r="C7" s="270" t="s">
        <v>19</v>
      </c>
      <c r="D7" s="228">
        <f>SUM(D8:D9)</f>
        <v>1116288.2590691657</v>
      </c>
      <c r="E7" s="71"/>
      <c r="F7" s="228">
        <f t="shared" ref="F7:O7" si="3">SUM(F8:F9)</f>
        <v>0</v>
      </c>
      <c r="G7" s="228">
        <f t="shared" si="3"/>
        <v>0</v>
      </c>
      <c r="H7" s="228">
        <f t="shared" si="3"/>
        <v>46306</v>
      </c>
      <c r="I7" s="228">
        <f t="shared" si="3"/>
        <v>135478</v>
      </c>
      <c r="J7" s="228">
        <f t="shared" si="3"/>
        <v>140894.32000000004</v>
      </c>
      <c r="K7" s="228">
        <f t="shared" si="3"/>
        <v>146527.29280000002</v>
      </c>
      <c r="L7" s="228">
        <f t="shared" si="3"/>
        <v>152385.584512</v>
      </c>
      <c r="M7" s="228">
        <f t="shared" si="3"/>
        <v>158478.20789248002</v>
      </c>
      <c r="N7" s="228">
        <f t="shared" si="3"/>
        <v>164814.5362081792</v>
      </c>
      <c r="O7" s="228">
        <f t="shared" si="3"/>
        <v>171404.31765650638</v>
      </c>
      <c r="P7" s="385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outlineLevel="1" x14ac:dyDescent="0.25">
      <c r="A8" s="261" t="str" cm="1">
        <f t="array" aca="1" ref="A8" ca="1">HYPERLINK(CELL("адрес",Выручка!A10),"источник")</f>
        <v>источник</v>
      </c>
      <c r="B8" s="424" t="s">
        <v>67</v>
      </c>
      <c r="C8" s="270" t="s">
        <v>19</v>
      </c>
      <c r="D8" s="250">
        <f>SUM(F8:O8)</f>
        <v>1115728.2590691657</v>
      </c>
      <c r="E8" s="71"/>
      <c r="F8" s="230">
        <f>Выручка!F10</f>
        <v>0</v>
      </c>
      <c r="G8" s="230">
        <f>Выручка!G10</f>
        <v>0</v>
      </c>
      <c r="H8" s="230">
        <f>Выручка!H10</f>
        <v>46236</v>
      </c>
      <c r="I8" s="230">
        <f>Выручка!I10</f>
        <v>135408</v>
      </c>
      <c r="J8" s="230">
        <f>Выручка!J10</f>
        <v>140824.32000000004</v>
      </c>
      <c r="K8" s="230">
        <f>Выручка!K10</f>
        <v>146457.29280000002</v>
      </c>
      <c r="L8" s="230">
        <f>Выручка!L10</f>
        <v>152315.584512</v>
      </c>
      <c r="M8" s="230">
        <f>Выручка!M10</f>
        <v>158408.20789248002</v>
      </c>
      <c r="N8" s="230">
        <f>Выручка!N10</f>
        <v>164744.5362081792</v>
      </c>
      <c r="O8" s="230">
        <f>Выручка!O10</f>
        <v>171334.31765650638</v>
      </c>
      <c r="P8" s="386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outlineLevel="1" x14ac:dyDescent="0.25">
      <c r="A9" s="261" t="str" cm="1">
        <f t="array" aca="1" ref="A9" ca="1">HYPERLINK(CELL("адрес",ПрочДоходы!A5),"источник")</f>
        <v>источник</v>
      </c>
      <c r="B9" s="424" t="s">
        <v>292</v>
      </c>
      <c r="C9" s="270" t="s">
        <v>19</v>
      </c>
      <c r="D9" s="250">
        <f>SUM(F9:O9)</f>
        <v>560</v>
      </c>
      <c r="E9" s="71"/>
      <c r="F9" s="230">
        <f>ПрочДоходы!F5</f>
        <v>0</v>
      </c>
      <c r="G9" s="230">
        <f>ПрочДоходы!G5</f>
        <v>0</v>
      </c>
      <c r="H9" s="230">
        <f>ПрочДоходы!H5</f>
        <v>70</v>
      </c>
      <c r="I9" s="230">
        <f>ПрочДоходы!I5</f>
        <v>70</v>
      </c>
      <c r="J9" s="230">
        <f>ПрочДоходы!J5</f>
        <v>70</v>
      </c>
      <c r="K9" s="230">
        <f>ПрочДоходы!K5</f>
        <v>70</v>
      </c>
      <c r="L9" s="230">
        <f>ПрочДоходы!L5</f>
        <v>70</v>
      </c>
      <c r="M9" s="230">
        <f>ПрочДоходы!M5</f>
        <v>70</v>
      </c>
      <c r="N9" s="230">
        <f>ПрочДоходы!N5</f>
        <v>70</v>
      </c>
      <c r="O9" s="230">
        <f>ПрочДоходы!O5</f>
        <v>70</v>
      </c>
      <c r="P9" s="386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outlineLevel="1" x14ac:dyDescent="0.25">
      <c r="A10" s="421"/>
      <c r="B10" s="425"/>
      <c r="C10" s="270" t="s">
        <v>19</v>
      </c>
      <c r="D10" s="433"/>
      <c r="E10" s="71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235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x14ac:dyDescent="0.25">
      <c r="A11" s="420"/>
      <c r="B11" s="423" t="s">
        <v>73</v>
      </c>
      <c r="C11" s="270" t="s">
        <v>19</v>
      </c>
      <c r="D11" s="228">
        <f ca="1">SUM(D12:D26)</f>
        <v>-822725.72235777171</v>
      </c>
      <c r="E11" s="71"/>
      <c r="F11" s="228">
        <f ca="1">SUM(F12:F26)</f>
        <v>-7289.7493333333332</v>
      </c>
      <c r="G11" s="228">
        <f t="shared" ref="G11:O11" ca="1" si="4">SUM(G12:G26)</f>
        <v>-12482.628650666666</v>
      </c>
      <c r="H11" s="228">
        <f t="shared" ca="1" si="4"/>
        <v>-63034.000898002298</v>
      </c>
      <c r="I11" s="228">
        <f t="shared" ca="1" si="4"/>
        <v>-99042.37511286739</v>
      </c>
      <c r="J11" s="228">
        <f t="shared" ca="1" si="4"/>
        <v>-101051.73643111388</v>
      </c>
      <c r="K11" s="228">
        <f t="shared" ca="1" si="4"/>
        <v>-103175.3586724471</v>
      </c>
      <c r="L11" s="228">
        <f t="shared" ca="1" si="4"/>
        <v>-105327.70421534176</v>
      </c>
      <c r="M11" s="228">
        <f t="shared" ca="1" si="4"/>
        <v>-107765.5644905863</v>
      </c>
      <c r="N11" s="228">
        <f t="shared" ca="1" si="4"/>
        <v>-110160.0159595947</v>
      </c>
      <c r="O11" s="228">
        <f t="shared" ca="1" si="4"/>
        <v>-113396.58859381839</v>
      </c>
      <c r="P11" s="385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outlineLevel="1" x14ac:dyDescent="0.25">
      <c r="A12" s="261" t="str" cm="1">
        <f t="array" aca="1" ref="A12" ca="1">HYPERLINK(CELL("адрес",Себестоимость!A9),"источник")</f>
        <v>источник</v>
      </c>
      <c r="B12" s="424" t="s">
        <v>257</v>
      </c>
      <c r="C12" s="270" t="s">
        <v>19</v>
      </c>
      <c r="D12" s="250">
        <f t="shared" ref="D12:D24" si="5">SUM(F12:O12)</f>
        <v>-48993.94325835941</v>
      </c>
      <c r="E12" s="71"/>
      <c r="F12" s="230">
        <f>-Себестоимость!F9</f>
        <v>0</v>
      </c>
      <c r="G12" s="230">
        <f>-Себестоимость!G9</f>
        <v>0</v>
      </c>
      <c r="H12" s="230">
        <f>-Себестоимость!H9</f>
        <v>-1680</v>
      </c>
      <c r="I12" s="230">
        <f>-Себестоимость!I9</f>
        <v>-5990.4000000000015</v>
      </c>
      <c r="J12" s="230">
        <f>-Себестоимость!J9</f>
        <v>-6230.0160000000014</v>
      </c>
      <c r="K12" s="230">
        <f>-Себестоимость!K9</f>
        <v>-6479.2166400000024</v>
      </c>
      <c r="L12" s="230">
        <f>-Себестоимость!L9</f>
        <v>-6738.3853056000016</v>
      </c>
      <c r="M12" s="230">
        <f>-Себестоимость!M9</f>
        <v>-7007.9207178240013</v>
      </c>
      <c r="N12" s="230">
        <f>-Себестоимость!N9</f>
        <v>-7288.2375465369614</v>
      </c>
      <c r="O12" s="230">
        <f>-Себестоимость!O9</f>
        <v>-7579.7670483984411</v>
      </c>
      <c r="P12" s="386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outlineLevel="1" x14ac:dyDescent="0.25">
      <c r="A13" s="261" t="str" cm="1">
        <f t="array" aca="1" ref="A13" ca="1">HYPERLINK(CELL("адрес",Ресурсы!A9),"источник")</f>
        <v>источник</v>
      </c>
      <c r="B13" s="424" t="s">
        <v>266</v>
      </c>
      <c r="C13" s="270" t="s">
        <v>19</v>
      </c>
      <c r="D13" s="250">
        <f t="shared" si="5"/>
        <v>-153287.48230307098</v>
      </c>
      <c r="E13" s="71"/>
      <c r="F13" s="230">
        <f>-Ресурсы!F7</f>
        <v>-5622</v>
      </c>
      <c r="G13" s="230">
        <f>-Ресурсы!G7</f>
        <v>-5858.16</v>
      </c>
      <c r="H13" s="230">
        <f>-Ресурсы!H7</f>
        <v>-11348.431499999999</v>
      </c>
      <c r="I13" s="230">
        <f>-Ресурсы!I7</f>
        <v>-16989.627464999998</v>
      </c>
      <c r="J13" s="230">
        <f>-Ресурсы!J7</f>
        <v>-17547.627220424998</v>
      </c>
      <c r="K13" s="230">
        <f>-Ресурсы!K7</f>
        <v>-18124.907332487623</v>
      </c>
      <c r="L13" s="230">
        <f>-Ресурсы!L7</f>
        <v>-18637.002623831733</v>
      </c>
      <c r="M13" s="230">
        <f>-Ресурсы!M7</f>
        <v>-19166.388211800288</v>
      </c>
      <c r="N13" s="230">
        <f>-Ресурсы!N7</f>
        <v>-19713.707805532806</v>
      </c>
      <c r="O13" s="230">
        <f>-Ресурсы!O7</f>
        <v>-20279.630143993534</v>
      </c>
      <c r="P13" s="386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outlineLevel="1" x14ac:dyDescent="0.25">
      <c r="A14" s="261" t="str" cm="1">
        <f t="array" aca="1" ref="A14" ca="1">HYPERLINK(CELL("адрес",Персонал!A56),"источник")</f>
        <v>источник</v>
      </c>
      <c r="B14" s="424" t="s">
        <v>158</v>
      </c>
      <c r="C14" s="270" t="s">
        <v>19</v>
      </c>
      <c r="D14" s="250">
        <f t="shared" si="5"/>
        <v>-228233.12930940738</v>
      </c>
      <c r="E14" s="71"/>
      <c r="F14" s="230">
        <f>-Персонал!F56</f>
        <v>-2505.6</v>
      </c>
      <c r="G14" s="230">
        <f>-Персонал!G56</f>
        <v>-2565.7343999999998</v>
      </c>
      <c r="H14" s="230">
        <f>-Персонал!H56</f>
        <v>-25397.349580800004</v>
      </c>
      <c r="I14" s="230">
        <f>-Персонал!I56</f>
        <v>-26083.0780194816</v>
      </c>
      <c r="J14" s="230">
        <f>-Персонал!J56</f>
        <v>-26787.321126007602</v>
      </c>
      <c r="K14" s="230">
        <f>-Персонал!K56</f>
        <v>-27510.578796409805</v>
      </c>
      <c r="L14" s="230">
        <f>-Персонал!L56</f>
        <v>-28225.853845116457</v>
      </c>
      <c r="M14" s="230">
        <f>-Персонал!M56</f>
        <v>-28959.72604508949</v>
      </c>
      <c r="N14" s="230">
        <f>-Персонал!N56</f>
        <v>-29712.678922261817</v>
      </c>
      <c r="O14" s="230">
        <f>-Персонал!O56</f>
        <v>-30485.208574240616</v>
      </c>
      <c r="P14" s="386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outlineLevel="1" x14ac:dyDescent="0.25">
      <c r="A15" s="261" t="str" cm="1">
        <f t="array" aca="1" ref="A15" ca="1">HYPERLINK(CELL("адрес",Персонал!A25),"источник")</f>
        <v>источник</v>
      </c>
      <c r="B15" s="424" t="s">
        <v>157</v>
      </c>
      <c r="C15" s="270" t="s">
        <v>19</v>
      </c>
      <c r="D15" s="250">
        <f t="shared" si="5"/>
        <v>-79750.426793172228</v>
      </c>
      <c r="E15" s="71"/>
      <c r="F15" s="230">
        <f>-Персонал!F25</f>
        <v>-875.52</v>
      </c>
      <c r="G15" s="230">
        <f>-Персонал!G25</f>
        <v>-896.53247999999996</v>
      </c>
      <c r="H15" s="230">
        <f>-Персонал!H25</f>
        <v>-8874.4761753599996</v>
      </c>
      <c r="I15" s="230">
        <f>-Персонал!I25</f>
        <v>-9114.0870320947197</v>
      </c>
      <c r="J15" s="230">
        <f>-Персонал!J25</f>
        <v>-9360.167381961277</v>
      </c>
      <c r="K15" s="230">
        <f>-Персонал!K25</f>
        <v>-9612.8919012742299</v>
      </c>
      <c r="L15" s="230">
        <f>-Персонал!L25</f>
        <v>-9862.8270907073602</v>
      </c>
      <c r="M15" s="230">
        <f>-Персонал!M25</f>
        <v>-10119.260595065753</v>
      </c>
      <c r="N15" s="230">
        <f>-Персонал!N25</f>
        <v>-10382.361370537463</v>
      </c>
      <c r="O15" s="230">
        <f>-Персонал!O25</f>
        <v>-10652.302766171435</v>
      </c>
      <c r="P15" s="386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outlineLevel="1" x14ac:dyDescent="0.25">
      <c r="A16" s="261" t="str" cm="1">
        <f t="array" aca="1" ref="A16" ca="1">HYPERLINK(CELL("адрес",Персонал!A51),"источник")</f>
        <v>источник</v>
      </c>
      <c r="B16" s="424" t="s">
        <v>68</v>
      </c>
      <c r="C16" s="270" t="s">
        <v>19</v>
      </c>
      <c r="D16" s="250">
        <f t="shared" si="5"/>
        <v>-34103.80093129076</v>
      </c>
      <c r="E16" s="71"/>
      <c r="F16" s="230">
        <f>-Персонал!F51</f>
        <v>-374.40000000000003</v>
      </c>
      <c r="G16" s="230">
        <f>-Персонал!G51</f>
        <v>-383.38559999999995</v>
      </c>
      <c r="H16" s="230">
        <f>-Персонал!H51</f>
        <v>-3795.0062592000004</v>
      </c>
      <c r="I16" s="230">
        <f>-Персонал!I51</f>
        <v>-3897.4714281984002</v>
      </c>
      <c r="J16" s="230">
        <f>-Персонал!J51</f>
        <v>-4002.7031567597564</v>
      </c>
      <c r="K16" s="230">
        <f>-Персонал!K51</f>
        <v>-4110.776141992269</v>
      </c>
      <c r="L16" s="230">
        <f>-Персонал!L51</f>
        <v>-4217.6563216840677</v>
      </c>
      <c r="M16" s="230">
        <f>-Персонал!M51</f>
        <v>-4327.3153860478551</v>
      </c>
      <c r="N16" s="230">
        <f>-Персонал!N51</f>
        <v>-4439.8255860850986</v>
      </c>
      <c r="O16" s="230">
        <f>-Персонал!O51</f>
        <v>-4555.2610513233112</v>
      </c>
      <c r="P16" s="386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outlineLevel="1" x14ac:dyDescent="0.25">
      <c r="A17" s="261" t="str" cm="1">
        <f t="array" aca="1" ref="A17" ca="1">HYPERLINK(CELL("адрес",ОбщПрРасходы!A12),"источник")</f>
        <v>источник</v>
      </c>
      <c r="B17" s="424" t="s">
        <v>281</v>
      </c>
      <c r="C17" s="270" t="s">
        <v>19</v>
      </c>
      <c r="D17" s="250">
        <f t="shared" si="5"/>
        <v>-3600</v>
      </c>
      <c r="E17" s="71"/>
      <c r="F17" s="230">
        <f>-ОбщПрРасходы!F12</f>
        <v>-360</v>
      </c>
      <c r="G17" s="230">
        <f>-ОбщПрРасходы!G12</f>
        <v>-360</v>
      </c>
      <c r="H17" s="230">
        <f>-ОбщПрРасходы!H12</f>
        <v>-360</v>
      </c>
      <c r="I17" s="230">
        <f>-ОбщПрРасходы!I12</f>
        <v>-360</v>
      </c>
      <c r="J17" s="230">
        <f>-ОбщПрРасходы!J12</f>
        <v>-360</v>
      </c>
      <c r="K17" s="230">
        <f>-ОбщПрРасходы!K12</f>
        <v>-360</v>
      </c>
      <c r="L17" s="230">
        <f>-ОбщПрРасходы!L12</f>
        <v>-360</v>
      </c>
      <c r="M17" s="230">
        <f>-ОбщПрРасходы!M12</f>
        <v>-360</v>
      </c>
      <c r="N17" s="230">
        <f>-ОбщПрРасходы!N12</f>
        <v>-360</v>
      </c>
      <c r="O17" s="230">
        <f>-ОбщПрРасходы!O12</f>
        <v>-360</v>
      </c>
      <c r="P17" s="386"/>
      <c r="Q17" s="159"/>
    </row>
    <row r="18" spans="1:17" outlineLevel="1" x14ac:dyDescent="0.25">
      <c r="A18" s="261" t="str" cm="1">
        <f t="array" aca="1" ref="A18" ca="1">HYPERLINK(CELL("адрес",АдмРасходы!A12),"источник")</f>
        <v>источник</v>
      </c>
      <c r="B18" s="424" t="s">
        <v>483</v>
      </c>
      <c r="C18" s="270" t="s">
        <v>19</v>
      </c>
      <c r="D18" s="250">
        <f t="shared" si="5"/>
        <v>-1800</v>
      </c>
      <c r="E18" s="71"/>
      <c r="F18" s="230">
        <f>-АдмРасходы!F12</f>
        <v>-180</v>
      </c>
      <c r="G18" s="230">
        <f>-АдмРасходы!G12</f>
        <v>-180</v>
      </c>
      <c r="H18" s="230">
        <f>-АдмРасходы!H12</f>
        <v>-180</v>
      </c>
      <c r="I18" s="230">
        <f>-АдмРасходы!I12</f>
        <v>-180</v>
      </c>
      <c r="J18" s="230">
        <f>-АдмРасходы!J12</f>
        <v>-180</v>
      </c>
      <c r="K18" s="230">
        <f>-АдмРасходы!K12</f>
        <v>-180</v>
      </c>
      <c r="L18" s="230">
        <f>-АдмРасходы!L12</f>
        <v>-180</v>
      </c>
      <c r="M18" s="230">
        <f>-АдмРасходы!M12</f>
        <v>-180</v>
      </c>
      <c r="N18" s="230">
        <f>-АдмРасходы!N12</f>
        <v>-180</v>
      </c>
      <c r="O18" s="230">
        <f>-АдмРасходы!O12</f>
        <v>-180</v>
      </c>
      <c r="P18" s="386"/>
      <c r="Q18" s="159"/>
    </row>
    <row r="19" spans="1:17" outlineLevel="1" x14ac:dyDescent="0.25">
      <c r="A19" s="421"/>
      <c r="B19" s="424"/>
      <c r="C19" s="270" t="s">
        <v>19</v>
      </c>
      <c r="D19" s="250">
        <f t="shared" si="5"/>
        <v>0</v>
      </c>
      <c r="E19" s="71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386"/>
      <c r="Q19" s="159"/>
    </row>
    <row r="20" spans="1:17" outlineLevel="1" x14ac:dyDescent="0.25">
      <c r="A20" s="261" t="str" cm="1">
        <f t="array" aca="1" ref="A20" ca="1">HYPERLINK(CELL("адрес",НДС!A16),"источник")</f>
        <v>источник</v>
      </c>
      <c r="B20" s="424" t="s">
        <v>74</v>
      </c>
      <c r="C20" s="270" t="s">
        <v>19</v>
      </c>
      <c r="D20" s="250">
        <f t="shared" si="5"/>
        <v>-151341.13891795586</v>
      </c>
      <c r="E20" s="71"/>
      <c r="F20" s="230">
        <f>-НДС!F16</f>
        <v>1027</v>
      </c>
      <c r="G20" s="230">
        <f>-НДС!G16</f>
        <v>1066.3600000000001</v>
      </c>
      <c r="H20" s="230">
        <f>-НДС!H16</f>
        <v>-5444.5947500000002</v>
      </c>
      <c r="I20" s="230">
        <f>-НДС!I16</f>
        <v>-18647.995422499996</v>
      </c>
      <c r="J20" s="230">
        <f>-НДС!J16</f>
        <v>-19417.779463262505</v>
      </c>
      <c r="K20" s="230">
        <f>-НДС!K16</f>
        <v>-20218.861471252065</v>
      </c>
      <c r="L20" s="230">
        <f>-НДС!L16</f>
        <v>-21066.699430428045</v>
      </c>
      <c r="M20" s="230">
        <f>-НДС!M16</f>
        <v>-21948.983160475953</v>
      </c>
      <c r="N20" s="230">
        <f>-НДС!N16</f>
        <v>-22867.098476018244</v>
      </c>
      <c r="O20" s="230">
        <f>-НДС!O16</f>
        <v>-23822.486744019072</v>
      </c>
      <c r="P20" s="386"/>
      <c r="Q20" s="159"/>
    </row>
    <row r="21" spans="1:17" outlineLevel="1" x14ac:dyDescent="0.25">
      <c r="A21" s="261" t="str" cm="1">
        <f t="array" aca="1" ref="A21" ca="1">HYPERLINK(CELL("адрес",НалИмущество!A13),"источник")</f>
        <v>источник</v>
      </c>
      <c r="B21" s="424" t="s">
        <v>482</v>
      </c>
      <c r="C21" s="270" t="s">
        <v>19</v>
      </c>
      <c r="D21" s="250">
        <f t="shared" si="5"/>
        <v>-7683.4999999999973</v>
      </c>
      <c r="E21" s="71"/>
      <c r="F21" s="230">
        <f>-НалИмущество!F13</f>
        <v>-201.66666666666663</v>
      </c>
      <c r="G21" s="230">
        <f>-НалИмущество!G13</f>
        <v>-705.83333333333314</v>
      </c>
      <c r="H21" s="230">
        <f>-НалИмущество!H13</f>
        <v>-988.1666666666664</v>
      </c>
      <c r="I21" s="230">
        <f>-НалИмущество!I13</f>
        <v>-947.83333333333314</v>
      </c>
      <c r="J21" s="230">
        <f>-НалИмущество!J13</f>
        <v>-907.49999999999966</v>
      </c>
      <c r="K21" s="230">
        <f>-НалИмущество!K13</f>
        <v>-867.1666666666664</v>
      </c>
      <c r="L21" s="230">
        <f>-НалИмущество!L13</f>
        <v>-826.8333333333328</v>
      </c>
      <c r="M21" s="230">
        <f>-НалИмущество!M13</f>
        <v>-786.49999999999966</v>
      </c>
      <c r="N21" s="230">
        <f>-НалИмущество!N13</f>
        <v>-746.16666666666606</v>
      </c>
      <c r="O21" s="230">
        <f>-НалИмущество!O13</f>
        <v>-705.83333333333292</v>
      </c>
      <c r="P21" s="386"/>
      <c r="Q21" s="159"/>
    </row>
    <row r="22" spans="1:17" outlineLevel="1" x14ac:dyDescent="0.25">
      <c r="A22" s="226" t="str" cm="1">
        <f t="array" aca="1" ref="A22" ca="1">HYPERLINK(CELL("адрес",НалПрибыль!A15),"источник")</f>
        <v>источник</v>
      </c>
      <c r="B22" s="424" t="s">
        <v>356</v>
      </c>
      <c r="C22" s="270" t="s">
        <v>19</v>
      </c>
      <c r="D22" s="250">
        <f t="shared" ca="1" si="5"/>
        <v>-62432.300844515135</v>
      </c>
      <c r="E22" s="71"/>
      <c r="F22" s="230">
        <f ca="1">-НалПрибыль!F15</f>
        <v>1822.4373333333333</v>
      </c>
      <c r="G22" s="230">
        <f ca="1">-НалПрибыль!G15</f>
        <v>3120.6571626666664</v>
      </c>
      <c r="H22" s="230">
        <f ca="1">-НалПрибыль!H15</f>
        <v>5741.5240340243809</v>
      </c>
      <c r="I22" s="230">
        <f ca="1">-НалПрибыль!I15</f>
        <v>-7549.3824122593433</v>
      </c>
      <c r="J22" s="230">
        <f ca="1">-НалПрибыль!J15</f>
        <v>-8401.1220826977296</v>
      </c>
      <c r="K22" s="230">
        <f ca="1">-НалПрибыль!K15</f>
        <v>-9278.459722364425</v>
      </c>
      <c r="L22" s="230">
        <f ca="1">-НалПрибыль!L15</f>
        <v>-10204.946264640752</v>
      </c>
      <c r="M22" s="230">
        <f ca="1">-НалПрибыль!M15</f>
        <v>-11326.970374282955</v>
      </c>
      <c r="N22" s="230">
        <f ca="1">-НалПрибыль!N15</f>
        <v>-12312.43958595565</v>
      </c>
      <c r="O22" s="230">
        <f ca="1">-НалПрибыль!O15</f>
        <v>-14043.59893233866</v>
      </c>
      <c r="P22" s="386"/>
      <c r="Q22" s="159"/>
    </row>
    <row r="23" spans="1:17" outlineLevel="1" x14ac:dyDescent="0.25">
      <c r="A23" s="421"/>
      <c r="B23" s="424" t="s">
        <v>357</v>
      </c>
      <c r="C23" s="270" t="s">
        <v>19</v>
      </c>
      <c r="D23" s="250">
        <f t="shared" si="5"/>
        <v>0</v>
      </c>
      <c r="E23" s="71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386"/>
      <c r="Q23" s="159"/>
    </row>
    <row r="24" spans="1:17" outlineLevel="1" x14ac:dyDescent="0.25">
      <c r="A24" s="261" t="str" cm="1">
        <f t="array" aca="1" ref="A24" ca="1">HYPERLINK(CELL("адрес",ПрочРасходы!A5),"источник")</f>
        <v>источник</v>
      </c>
      <c r="B24" s="424" t="s">
        <v>293</v>
      </c>
      <c r="C24" s="270" t="s">
        <v>19</v>
      </c>
      <c r="D24" s="250">
        <f t="shared" si="5"/>
        <v>-200</v>
      </c>
      <c r="E24" s="71"/>
      <c r="F24" s="230">
        <f>-ПрочРасходы!F5</f>
        <v>-20</v>
      </c>
      <c r="G24" s="230">
        <f>-ПрочРасходы!G5</f>
        <v>-20</v>
      </c>
      <c r="H24" s="230">
        <f>-ПрочРасходы!H5</f>
        <v>-20</v>
      </c>
      <c r="I24" s="230">
        <f>-ПрочРасходы!I5</f>
        <v>-20</v>
      </c>
      <c r="J24" s="230">
        <f>-ПрочРасходы!J5</f>
        <v>-20</v>
      </c>
      <c r="K24" s="230">
        <f>-ПрочРасходы!K5</f>
        <v>-20</v>
      </c>
      <c r="L24" s="230">
        <f>-ПрочРасходы!L5</f>
        <v>-20</v>
      </c>
      <c r="M24" s="230">
        <f>-ПрочРасходы!M5</f>
        <v>-20</v>
      </c>
      <c r="N24" s="230">
        <f>-ПрочРасходы!N5</f>
        <v>-20</v>
      </c>
      <c r="O24" s="230">
        <f>-ПрочРасходы!O5</f>
        <v>-20</v>
      </c>
      <c r="P24" s="386"/>
      <c r="Q24" s="159"/>
    </row>
    <row r="25" spans="1:17" outlineLevel="1" x14ac:dyDescent="0.25">
      <c r="A25" s="261" t="str" cm="1">
        <f t="array" aca="1" ref="A25" ca="1">HYPERLINK(CELL("адрес",Финансы!A26),"источник")</f>
        <v>источник</v>
      </c>
      <c r="B25" s="424" t="s">
        <v>236</v>
      </c>
      <c r="C25" s="270" t="s">
        <v>19</v>
      </c>
      <c r="D25" s="250">
        <f>SUM(F25:O25)</f>
        <v>-51300</v>
      </c>
      <c r="E25" s="71"/>
      <c r="F25" s="230">
        <f>-Финансы!F36</f>
        <v>0</v>
      </c>
      <c r="G25" s="230">
        <f>-Финансы!G36</f>
        <v>-5700</v>
      </c>
      <c r="H25" s="230">
        <f>-Финансы!H36</f>
        <v>-10687.5</v>
      </c>
      <c r="I25" s="230">
        <f>-Финансы!I36</f>
        <v>-9262.5</v>
      </c>
      <c r="J25" s="230">
        <f>-Финансы!J36</f>
        <v>-7837.5</v>
      </c>
      <c r="K25" s="230">
        <f>-Финансы!K36</f>
        <v>-6412.5</v>
      </c>
      <c r="L25" s="230">
        <f>-Финансы!L36</f>
        <v>-4987.5</v>
      </c>
      <c r="M25" s="230">
        <f>-Финансы!M36</f>
        <v>-3562.5</v>
      </c>
      <c r="N25" s="230">
        <f>-Финансы!N36</f>
        <v>-2137.5</v>
      </c>
      <c r="O25" s="230">
        <f>-Финансы!O36</f>
        <v>-712.5</v>
      </c>
      <c r="P25" s="386"/>
      <c r="Q25" s="159"/>
    </row>
    <row r="26" spans="1:17" outlineLevel="1" x14ac:dyDescent="0.25">
      <c r="A26" s="261"/>
      <c r="B26" s="424"/>
      <c r="C26" s="270"/>
      <c r="D26" s="250"/>
      <c r="E26" s="71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386"/>
      <c r="Q26" s="159"/>
    </row>
    <row r="27" spans="1:17" x14ac:dyDescent="0.25">
      <c r="A27" s="420"/>
      <c r="B27" s="423" t="s">
        <v>70</v>
      </c>
      <c r="C27" s="270" t="s">
        <v>19</v>
      </c>
      <c r="D27" s="228">
        <f ca="1">D7+D11</f>
        <v>293562.53671139397</v>
      </c>
      <c r="E27" s="71"/>
      <c r="F27" s="691">
        <f ca="1">F7+F11</f>
        <v>-7289.7493333333332</v>
      </c>
      <c r="G27" s="691">
        <f t="shared" ref="G27:O27" ca="1" si="6">G7+G11</f>
        <v>-12482.628650666666</v>
      </c>
      <c r="H27" s="691">
        <f t="shared" ca="1" si="6"/>
        <v>-16728.000898002298</v>
      </c>
      <c r="I27" s="691">
        <f t="shared" ca="1" si="6"/>
        <v>36435.62488713261</v>
      </c>
      <c r="J27" s="691">
        <f t="shared" ca="1" si="6"/>
        <v>39842.583568886155</v>
      </c>
      <c r="K27" s="691">
        <f t="shared" ca="1" si="6"/>
        <v>43351.93412755293</v>
      </c>
      <c r="L27" s="691">
        <f t="shared" ca="1" si="6"/>
        <v>47057.880296658244</v>
      </c>
      <c r="M27" s="691">
        <f t="shared" ca="1" si="6"/>
        <v>50712.643401893714</v>
      </c>
      <c r="N27" s="691">
        <f t="shared" ca="1" si="6"/>
        <v>54654.520248584493</v>
      </c>
      <c r="O27" s="691">
        <f t="shared" ca="1" si="6"/>
        <v>58007.729062687984</v>
      </c>
      <c r="P27" s="727"/>
      <c r="Q27" s="159"/>
    </row>
    <row r="28" spans="1:17" ht="6.95" customHeight="1" x14ac:dyDescent="0.25">
      <c r="A28" s="420"/>
      <c r="B28" s="423"/>
      <c r="C28" s="407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159"/>
    </row>
    <row r="29" spans="1:17" x14ac:dyDescent="0.25">
      <c r="A29" s="419" t="s">
        <v>71</v>
      </c>
      <c r="B29" s="78"/>
      <c r="C29" s="429"/>
      <c r="D29" s="432"/>
      <c r="E29" s="71"/>
      <c r="F29" s="414"/>
      <c r="G29" s="414"/>
      <c r="H29" s="414"/>
      <c r="I29" s="414"/>
      <c r="J29" s="414"/>
      <c r="K29" s="414"/>
      <c r="L29" s="414"/>
      <c r="M29" s="414"/>
      <c r="N29" s="414"/>
      <c r="O29" s="414"/>
      <c r="P29" s="716"/>
      <c r="Q29" s="159"/>
    </row>
    <row r="30" spans="1:17" x14ac:dyDescent="0.25">
      <c r="A30" s="420"/>
      <c r="B30" s="423" t="s">
        <v>72</v>
      </c>
      <c r="C30" s="270" t="s">
        <v>19</v>
      </c>
      <c r="D30" s="228">
        <f>SUM(D31:D32)</f>
        <v>15000.000000000002</v>
      </c>
      <c r="E30" s="71"/>
      <c r="F30" s="228">
        <f t="shared" ref="F30:O30" si="7">SUM(F31:F32)</f>
        <v>3666.6666666666674</v>
      </c>
      <c r="G30" s="228">
        <f t="shared" si="7"/>
        <v>11333.333333333334</v>
      </c>
      <c r="H30" s="228">
        <f t="shared" si="7"/>
        <v>0</v>
      </c>
      <c r="I30" s="228">
        <f t="shared" si="7"/>
        <v>0</v>
      </c>
      <c r="J30" s="228">
        <f t="shared" si="7"/>
        <v>0</v>
      </c>
      <c r="K30" s="228">
        <f t="shared" si="7"/>
        <v>0</v>
      </c>
      <c r="L30" s="228">
        <f t="shared" si="7"/>
        <v>0</v>
      </c>
      <c r="M30" s="228">
        <f t="shared" si="7"/>
        <v>0</v>
      </c>
      <c r="N30" s="228">
        <f t="shared" si="7"/>
        <v>0</v>
      </c>
      <c r="O30" s="228">
        <f t="shared" si="7"/>
        <v>0</v>
      </c>
      <c r="P30" s="385"/>
      <c r="Q30" s="159"/>
    </row>
    <row r="31" spans="1:17" outlineLevel="1" x14ac:dyDescent="0.25">
      <c r="A31" s="421"/>
      <c r="B31" s="424" t="s">
        <v>75</v>
      </c>
      <c r="C31" s="270" t="s">
        <v>19</v>
      </c>
      <c r="D31" s="250">
        <f>SUM(F31:O31)</f>
        <v>0</v>
      </c>
      <c r="E31" s="71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386"/>
      <c r="Q31" s="159"/>
    </row>
    <row r="32" spans="1:17" outlineLevel="1" x14ac:dyDescent="0.25">
      <c r="A32" s="261" t="str" cm="1">
        <f t="array" aca="1" ref="A32" ca="1">HYPERLINK(CELL("адрес",Инвестиции!A8),"источник")</f>
        <v>источник</v>
      </c>
      <c r="B32" s="424" t="s">
        <v>77</v>
      </c>
      <c r="C32" s="270" t="s">
        <v>19</v>
      </c>
      <c r="D32" s="250">
        <f>SUM(F32:O32)</f>
        <v>15000.000000000002</v>
      </c>
      <c r="E32" s="71"/>
      <c r="F32" s="230">
        <f>Инвестиции!F8</f>
        <v>3666.6666666666674</v>
      </c>
      <c r="G32" s="230">
        <f>Инвестиции!G8</f>
        <v>11333.333333333334</v>
      </c>
      <c r="H32" s="230">
        <f>Инвестиции!H8</f>
        <v>0</v>
      </c>
      <c r="I32" s="230">
        <f>Инвестиции!I8</f>
        <v>0</v>
      </c>
      <c r="J32" s="230">
        <f>Инвестиции!J8</f>
        <v>0</v>
      </c>
      <c r="K32" s="230">
        <f>Инвестиции!K8</f>
        <v>0</v>
      </c>
      <c r="L32" s="230">
        <f>Инвестиции!L8</f>
        <v>0</v>
      </c>
      <c r="M32" s="230">
        <f>Инвестиции!M8</f>
        <v>0</v>
      </c>
      <c r="N32" s="230">
        <f>Инвестиции!N8</f>
        <v>0</v>
      </c>
      <c r="O32" s="230">
        <f>Инвестиции!O8</f>
        <v>0</v>
      </c>
      <c r="P32" s="386"/>
      <c r="Q32" s="159"/>
    </row>
    <row r="33" spans="1:17" outlineLevel="1" x14ac:dyDescent="0.25">
      <c r="A33" s="421"/>
      <c r="B33" s="425"/>
      <c r="C33" s="270" t="s">
        <v>19</v>
      </c>
      <c r="D33" s="433"/>
      <c r="E33" s="7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235"/>
      <c r="Q33" s="159"/>
    </row>
    <row r="34" spans="1:17" x14ac:dyDescent="0.25">
      <c r="A34" s="420"/>
      <c r="B34" s="423" t="s">
        <v>73</v>
      </c>
      <c r="C34" s="270" t="s">
        <v>19</v>
      </c>
      <c r="D34" s="228">
        <f>SUM(D35:D36)</f>
        <v>-90000</v>
      </c>
      <c r="E34" s="71"/>
      <c r="F34" s="228">
        <f t="shared" ref="F34:O34" si="8">SUM(F35:F36)</f>
        <v>-22000</v>
      </c>
      <c r="G34" s="228">
        <f t="shared" si="8"/>
        <v>-68000</v>
      </c>
      <c r="H34" s="228">
        <f t="shared" si="8"/>
        <v>0</v>
      </c>
      <c r="I34" s="228">
        <f t="shared" si="8"/>
        <v>0</v>
      </c>
      <c r="J34" s="228">
        <f t="shared" si="8"/>
        <v>0</v>
      </c>
      <c r="K34" s="228">
        <f t="shared" si="8"/>
        <v>0</v>
      </c>
      <c r="L34" s="228">
        <f t="shared" si="8"/>
        <v>0</v>
      </c>
      <c r="M34" s="228">
        <f t="shared" si="8"/>
        <v>0</v>
      </c>
      <c r="N34" s="228">
        <f t="shared" si="8"/>
        <v>0</v>
      </c>
      <c r="O34" s="228">
        <f t="shared" si="8"/>
        <v>0</v>
      </c>
      <c r="P34" s="385"/>
      <c r="Q34" s="159"/>
    </row>
    <row r="35" spans="1:17" outlineLevel="1" x14ac:dyDescent="0.25">
      <c r="A35" s="261" t="str" cm="1">
        <f t="array" aca="1" ref="A35" ca="1">HYPERLINK(CELL("адрес",Инвестиции!A7),"источник")</f>
        <v>источник</v>
      </c>
      <c r="B35" s="424" t="s">
        <v>216</v>
      </c>
      <c r="C35" s="270" t="s">
        <v>19</v>
      </c>
      <c r="D35" s="250">
        <f>SUM(F35:O35)</f>
        <v>-90000</v>
      </c>
      <c r="E35" s="71"/>
      <c r="F35" s="230">
        <f>-Инвестиции!F7</f>
        <v>-22000</v>
      </c>
      <c r="G35" s="230">
        <f>-Инвестиции!G7</f>
        <v>-68000</v>
      </c>
      <c r="H35" s="230">
        <f>-Инвестиции!H7</f>
        <v>0</v>
      </c>
      <c r="I35" s="230">
        <f>-Инвестиции!I7</f>
        <v>0</v>
      </c>
      <c r="J35" s="230">
        <f>-Инвестиции!J7</f>
        <v>0</v>
      </c>
      <c r="K35" s="230">
        <f>-Инвестиции!K7</f>
        <v>0</v>
      </c>
      <c r="L35" s="230">
        <f>-Инвестиции!L7</f>
        <v>0</v>
      </c>
      <c r="M35" s="230">
        <f>-Инвестиции!M7</f>
        <v>0</v>
      </c>
      <c r="N35" s="230">
        <f>-Инвестиции!N7</f>
        <v>0</v>
      </c>
      <c r="O35" s="230">
        <f>-Инвестиции!O7</f>
        <v>0</v>
      </c>
      <c r="P35" s="386"/>
      <c r="Q35" s="159"/>
    </row>
    <row r="36" spans="1:17" outlineLevel="1" x14ac:dyDescent="0.25">
      <c r="A36" s="421"/>
      <c r="B36" s="424"/>
      <c r="C36" s="270" t="s">
        <v>19</v>
      </c>
      <c r="D36" s="250">
        <f>SUM(F36:O36)</f>
        <v>0</v>
      </c>
      <c r="E36" s="71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386"/>
      <c r="Q36" s="159"/>
    </row>
    <row r="37" spans="1:17" outlineLevel="1" x14ac:dyDescent="0.25">
      <c r="A37" s="421"/>
      <c r="B37" s="426"/>
      <c r="C37" s="270" t="s">
        <v>19</v>
      </c>
      <c r="D37" s="434"/>
      <c r="E37" s="71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717"/>
      <c r="Q37" s="159"/>
    </row>
    <row r="38" spans="1:17" x14ac:dyDescent="0.25">
      <c r="A38" s="420"/>
      <c r="B38" s="423" t="s">
        <v>76</v>
      </c>
      <c r="C38" s="270" t="s">
        <v>19</v>
      </c>
      <c r="D38" s="228">
        <f>D30+D34</f>
        <v>-75000</v>
      </c>
      <c r="E38" s="71"/>
      <c r="F38" s="228">
        <f t="shared" ref="F38:O38" si="9">F30+F34</f>
        <v>-18333.333333333332</v>
      </c>
      <c r="G38" s="228">
        <f t="shared" si="9"/>
        <v>-56666.666666666664</v>
      </c>
      <c r="H38" s="228">
        <f t="shared" si="9"/>
        <v>0</v>
      </c>
      <c r="I38" s="228">
        <f t="shared" si="9"/>
        <v>0</v>
      </c>
      <c r="J38" s="228">
        <f t="shared" si="9"/>
        <v>0</v>
      </c>
      <c r="K38" s="228">
        <f t="shared" si="9"/>
        <v>0</v>
      </c>
      <c r="L38" s="228">
        <f t="shared" si="9"/>
        <v>0</v>
      </c>
      <c r="M38" s="228">
        <f t="shared" si="9"/>
        <v>0</v>
      </c>
      <c r="N38" s="228">
        <f t="shared" si="9"/>
        <v>0</v>
      </c>
      <c r="O38" s="228">
        <f t="shared" si="9"/>
        <v>0</v>
      </c>
      <c r="P38" s="385"/>
      <c r="Q38" s="159"/>
    </row>
    <row r="39" spans="1:17" x14ac:dyDescent="0.25">
      <c r="A39" s="149"/>
      <c r="B39" s="149"/>
      <c r="C39" s="40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159"/>
    </row>
    <row r="40" spans="1:17" x14ac:dyDescent="0.25">
      <c r="A40" s="419" t="s">
        <v>78</v>
      </c>
      <c r="B40" s="78"/>
      <c r="C40" s="429"/>
      <c r="D40" s="432"/>
      <c r="E40" s="71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716"/>
      <c r="Q40" s="159"/>
    </row>
    <row r="41" spans="1:17" x14ac:dyDescent="0.25">
      <c r="A41" s="420"/>
      <c r="B41" s="423" t="s">
        <v>72</v>
      </c>
      <c r="C41" s="270" t="s">
        <v>19</v>
      </c>
      <c r="D41" s="228">
        <f>SUM(D42:D45)</f>
        <v>125000</v>
      </c>
      <c r="E41" s="71"/>
      <c r="F41" s="228">
        <f t="shared" ref="F41:O41" si="10">SUM(F42:F45)</f>
        <v>30000</v>
      </c>
      <c r="G41" s="228">
        <f t="shared" si="10"/>
        <v>95000</v>
      </c>
      <c r="H41" s="228">
        <f t="shared" si="10"/>
        <v>0</v>
      </c>
      <c r="I41" s="228">
        <f t="shared" si="10"/>
        <v>0</v>
      </c>
      <c r="J41" s="228">
        <f t="shared" si="10"/>
        <v>0</v>
      </c>
      <c r="K41" s="228">
        <f t="shared" si="10"/>
        <v>0</v>
      </c>
      <c r="L41" s="228">
        <f t="shared" si="10"/>
        <v>0</v>
      </c>
      <c r="M41" s="228">
        <f t="shared" si="10"/>
        <v>0</v>
      </c>
      <c r="N41" s="228">
        <f t="shared" si="10"/>
        <v>0</v>
      </c>
      <c r="O41" s="228">
        <f t="shared" si="10"/>
        <v>0</v>
      </c>
      <c r="P41" s="385"/>
      <c r="Q41" s="159"/>
    </row>
    <row r="42" spans="1:17" outlineLevel="1" x14ac:dyDescent="0.25">
      <c r="A42" s="261" t="str" cm="1">
        <f t="array" aca="1" ref="A42" ca="1">HYPERLINK(CELL("адрес",Финансы!A7),"источник")</f>
        <v>источник</v>
      </c>
      <c r="B42" s="424" t="s">
        <v>294</v>
      </c>
      <c r="C42" s="270" t="s">
        <v>19</v>
      </c>
      <c r="D42" s="250">
        <f>SUM(F42:O42)</f>
        <v>30000</v>
      </c>
      <c r="E42" s="71"/>
      <c r="F42" s="230">
        <f>Финансы!F7</f>
        <v>30000</v>
      </c>
      <c r="G42" s="230">
        <f>Финансы!G7</f>
        <v>0</v>
      </c>
      <c r="H42" s="230">
        <f>Финансы!H7</f>
        <v>0</v>
      </c>
      <c r="I42" s="230">
        <f>Финансы!I7</f>
        <v>0</v>
      </c>
      <c r="J42" s="230">
        <f>Финансы!J7</f>
        <v>0</v>
      </c>
      <c r="K42" s="230">
        <f>Финансы!K7</f>
        <v>0</v>
      </c>
      <c r="L42" s="230">
        <f>Финансы!L7</f>
        <v>0</v>
      </c>
      <c r="M42" s="230">
        <f>Финансы!M7</f>
        <v>0</v>
      </c>
      <c r="N42" s="230">
        <f>Финансы!N7</f>
        <v>0</v>
      </c>
      <c r="O42" s="230">
        <f>Финансы!O7</f>
        <v>0</v>
      </c>
      <c r="P42" s="386"/>
      <c r="Q42" s="159"/>
    </row>
    <row r="43" spans="1:17" outlineLevel="1" x14ac:dyDescent="0.25">
      <c r="A43" s="421"/>
      <c r="B43" s="424" t="s">
        <v>80</v>
      </c>
      <c r="C43" s="270" t="s">
        <v>19</v>
      </c>
      <c r="D43" s="250">
        <f>SUM(F43:O43)</f>
        <v>0</v>
      </c>
      <c r="E43" s="71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386"/>
      <c r="Q43" s="159"/>
    </row>
    <row r="44" spans="1:17" outlineLevel="1" x14ac:dyDescent="0.25">
      <c r="A44" s="421"/>
      <c r="B44" s="424" t="s">
        <v>81</v>
      </c>
      <c r="C44" s="270" t="s">
        <v>19</v>
      </c>
      <c r="D44" s="250">
        <f>SUM(F44:O44)</f>
        <v>0</v>
      </c>
      <c r="E44" s="71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386"/>
      <c r="Q44" s="159"/>
    </row>
    <row r="45" spans="1:17" outlineLevel="1" x14ac:dyDescent="0.25">
      <c r="A45" s="261" t="str" cm="1">
        <f t="array" aca="1" ref="A45" ca="1">HYPERLINK(CELL("адрес",Финансы!A22),"источник")</f>
        <v>источник</v>
      </c>
      <c r="B45" s="424" t="s">
        <v>237</v>
      </c>
      <c r="C45" s="270" t="s">
        <v>19</v>
      </c>
      <c r="D45" s="250">
        <f>SUM(F45:O45)</f>
        <v>95000</v>
      </c>
      <c r="E45" s="71"/>
      <c r="F45" s="250">
        <f>Финансы!F32</f>
        <v>0</v>
      </c>
      <c r="G45" s="250">
        <f>Финансы!G32</f>
        <v>95000</v>
      </c>
      <c r="H45" s="250">
        <f>Финансы!H32</f>
        <v>0</v>
      </c>
      <c r="I45" s="250">
        <f>Финансы!I32</f>
        <v>0</v>
      </c>
      <c r="J45" s="250">
        <f>Финансы!J32</f>
        <v>0</v>
      </c>
      <c r="K45" s="250">
        <f>Финансы!K32</f>
        <v>0</v>
      </c>
      <c r="L45" s="250">
        <f>Финансы!L32</f>
        <v>0</v>
      </c>
      <c r="M45" s="250">
        <f>Финансы!M32</f>
        <v>0</v>
      </c>
      <c r="N45" s="250">
        <f>Финансы!N32</f>
        <v>0</v>
      </c>
      <c r="O45" s="250">
        <f>Финансы!O32</f>
        <v>0</v>
      </c>
      <c r="P45" s="386"/>
      <c r="Q45" s="159"/>
    </row>
    <row r="46" spans="1:17" outlineLevel="1" x14ac:dyDescent="0.25">
      <c r="A46" s="421"/>
      <c r="B46" s="425"/>
      <c r="C46" s="270" t="s">
        <v>19</v>
      </c>
      <c r="D46" s="433"/>
      <c r="E46" s="71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235"/>
      <c r="Q46" s="159"/>
    </row>
    <row r="47" spans="1:17" x14ac:dyDescent="0.25">
      <c r="A47" s="420"/>
      <c r="B47" s="423" t="s">
        <v>73</v>
      </c>
      <c r="C47" s="270" t="s">
        <v>19</v>
      </c>
      <c r="D47" s="228">
        <f>SUM(D48:D50)</f>
        <v>-95000</v>
      </c>
      <c r="E47" s="71"/>
      <c r="F47" s="228">
        <f t="shared" ref="F47:O47" si="11">SUM(F48:F50)</f>
        <v>0</v>
      </c>
      <c r="G47" s="228">
        <f t="shared" si="11"/>
        <v>0</v>
      </c>
      <c r="H47" s="228">
        <f t="shared" si="11"/>
        <v>-11875</v>
      </c>
      <c r="I47" s="228">
        <f t="shared" si="11"/>
        <v>-11875</v>
      </c>
      <c r="J47" s="228">
        <f t="shared" si="11"/>
        <v>-11875</v>
      </c>
      <c r="K47" s="228">
        <f t="shared" si="11"/>
        <v>-11875</v>
      </c>
      <c r="L47" s="228">
        <f t="shared" si="11"/>
        <v>-11875</v>
      </c>
      <c r="M47" s="228">
        <f t="shared" si="11"/>
        <v>-11875</v>
      </c>
      <c r="N47" s="228">
        <f t="shared" si="11"/>
        <v>-11875</v>
      </c>
      <c r="O47" s="228">
        <f t="shared" si="11"/>
        <v>-11875</v>
      </c>
      <c r="P47" s="385"/>
      <c r="Q47" s="159"/>
    </row>
    <row r="48" spans="1:17" outlineLevel="1" x14ac:dyDescent="0.25">
      <c r="A48" s="261" t="str" cm="1">
        <f t="array" aca="1" ref="A48" ca="1">HYPERLINK(CELL("адрес",Финансы!A23),"источник")</f>
        <v>источник</v>
      </c>
      <c r="B48" s="424" t="s">
        <v>344</v>
      </c>
      <c r="C48" s="270" t="s">
        <v>19</v>
      </c>
      <c r="D48" s="250">
        <f>SUM(F48:O48)</f>
        <v>-95000</v>
      </c>
      <c r="E48" s="71"/>
      <c r="F48" s="230">
        <f>-Финансы!F33</f>
        <v>0</v>
      </c>
      <c r="G48" s="230">
        <f>-Финансы!G33</f>
        <v>0</v>
      </c>
      <c r="H48" s="230">
        <f>-Финансы!H33</f>
        <v>-11875</v>
      </c>
      <c r="I48" s="230">
        <f>-Финансы!I33</f>
        <v>-11875</v>
      </c>
      <c r="J48" s="230">
        <f>-Финансы!J33</f>
        <v>-11875</v>
      </c>
      <c r="K48" s="230">
        <f>-Финансы!K33</f>
        <v>-11875</v>
      </c>
      <c r="L48" s="230">
        <f>-Финансы!L33</f>
        <v>-11875</v>
      </c>
      <c r="M48" s="230">
        <f>-Финансы!M33</f>
        <v>-11875</v>
      </c>
      <c r="N48" s="230">
        <f>-Финансы!N33</f>
        <v>-11875</v>
      </c>
      <c r="O48" s="230">
        <f>-Финансы!O33</f>
        <v>-11875</v>
      </c>
      <c r="P48" s="386"/>
      <c r="Q48" s="159"/>
    </row>
    <row r="49" spans="1:17" x14ac:dyDescent="0.25">
      <c r="A49" s="71"/>
      <c r="B49" s="71"/>
      <c r="C49" s="428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159"/>
    </row>
    <row r="50" spans="1:17" outlineLevel="1" x14ac:dyDescent="0.25">
      <c r="A50" s="421"/>
      <c r="B50" s="424" t="s">
        <v>82</v>
      </c>
      <c r="C50" s="270" t="s">
        <v>19</v>
      </c>
      <c r="D50" s="250">
        <f>SUM(F50:O50)</f>
        <v>0</v>
      </c>
      <c r="E50" s="71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386"/>
      <c r="Q50" s="159"/>
    </row>
    <row r="51" spans="1:17" outlineLevel="1" x14ac:dyDescent="0.25">
      <c r="A51" s="421"/>
      <c r="B51" s="426"/>
      <c r="C51" s="270"/>
      <c r="D51" s="434"/>
      <c r="E51" s="71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717"/>
      <c r="Q51" s="159"/>
    </row>
    <row r="52" spans="1:17" x14ac:dyDescent="0.25">
      <c r="A52" s="420"/>
      <c r="B52" s="423" t="s">
        <v>79</v>
      </c>
      <c r="C52" s="270" t="s">
        <v>19</v>
      </c>
      <c r="D52" s="228">
        <f>D41+D47</f>
        <v>30000</v>
      </c>
      <c r="E52" s="71"/>
      <c r="F52" s="228">
        <f t="shared" ref="F52:O52" si="12">F41+F47</f>
        <v>30000</v>
      </c>
      <c r="G52" s="228">
        <f t="shared" si="12"/>
        <v>95000</v>
      </c>
      <c r="H52" s="228">
        <f t="shared" si="12"/>
        <v>-11875</v>
      </c>
      <c r="I52" s="228">
        <f t="shared" si="12"/>
        <v>-11875</v>
      </c>
      <c r="J52" s="228">
        <f t="shared" si="12"/>
        <v>-11875</v>
      </c>
      <c r="K52" s="228">
        <f t="shared" si="12"/>
        <v>-11875</v>
      </c>
      <c r="L52" s="228">
        <f t="shared" si="12"/>
        <v>-11875</v>
      </c>
      <c r="M52" s="228">
        <f t="shared" si="12"/>
        <v>-11875</v>
      </c>
      <c r="N52" s="228">
        <f t="shared" si="12"/>
        <v>-11875</v>
      </c>
      <c r="O52" s="228">
        <f t="shared" si="12"/>
        <v>-11875</v>
      </c>
      <c r="P52" s="385"/>
      <c r="Q52" s="159"/>
    </row>
    <row r="53" spans="1:17" ht="6.4" customHeight="1" x14ac:dyDescent="0.25">
      <c r="A53" s="71"/>
      <c r="B53" s="71"/>
      <c r="C53" s="404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159"/>
    </row>
    <row r="54" spans="1:17" x14ac:dyDescent="0.25">
      <c r="A54" s="419" t="s">
        <v>83</v>
      </c>
      <c r="B54" s="78"/>
      <c r="C54" s="429"/>
      <c r="D54" s="432"/>
      <c r="E54" s="71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716"/>
      <c r="Q54" s="159"/>
    </row>
    <row r="55" spans="1:17" x14ac:dyDescent="0.25">
      <c r="A55" s="421"/>
      <c r="B55" s="424" t="s">
        <v>72</v>
      </c>
      <c r="C55" s="270" t="s">
        <v>19</v>
      </c>
      <c r="D55" s="250">
        <f>SUM(F55:O55)</f>
        <v>1256288.2590691657</v>
      </c>
      <c r="E55" s="71"/>
      <c r="F55" s="230">
        <f t="shared" ref="F55:O55" si="13">F7+F30+F41</f>
        <v>33666.666666666664</v>
      </c>
      <c r="G55" s="230">
        <f t="shared" si="13"/>
        <v>106333.33333333333</v>
      </c>
      <c r="H55" s="230">
        <f t="shared" si="13"/>
        <v>46306</v>
      </c>
      <c r="I55" s="230">
        <f t="shared" si="13"/>
        <v>135478</v>
      </c>
      <c r="J55" s="230">
        <f t="shared" si="13"/>
        <v>140894.32000000004</v>
      </c>
      <c r="K55" s="230">
        <f t="shared" si="13"/>
        <v>146527.29280000002</v>
      </c>
      <c r="L55" s="230">
        <f t="shared" si="13"/>
        <v>152385.584512</v>
      </c>
      <c r="M55" s="230">
        <f t="shared" si="13"/>
        <v>158478.20789248002</v>
      </c>
      <c r="N55" s="230">
        <f t="shared" si="13"/>
        <v>164814.5362081792</v>
      </c>
      <c r="O55" s="230">
        <f t="shared" si="13"/>
        <v>171404.31765650638</v>
      </c>
      <c r="P55" s="386"/>
      <c r="Q55" s="159"/>
    </row>
    <row r="56" spans="1:17" x14ac:dyDescent="0.25">
      <c r="A56" s="421"/>
      <c r="B56" s="424" t="s">
        <v>73</v>
      </c>
      <c r="C56" s="270" t="s">
        <v>19</v>
      </c>
      <c r="D56" s="250">
        <f ca="1">SUM(F56:O56)</f>
        <v>-1007725.7223577718</v>
      </c>
      <c r="E56" s="71"/>
      <c r="F56" s="230">
        <f t="shared" ref="F56:O56" ca="1" si="14">F11+F34+F47</f>
        <v>-29289.749333333333</v>
      </c>
      <c r="G56" s="230">
        <f t="shared" ca="1" si="14"/>
        <v>-80482.628650666666</v>
      </c>
      <c r="H56" s="230">
        <f t="shared" ca="1" si="14"/>
        <v>-74909.000898002298</v>
      </c>
      <c r="I56" s="230">
        <f t="shared" ca="1" si="14"/>
        <v>-110917.37511286739</v>
      </c>
      <c r="J56" s="230">
        <f t="shared" ca="1" si="14"/>
        <v>-112926.73643111388</v>
      </c>
      <c r="K56" s="230">
        <f t="shared" ca="1" si="14"/>
        <v>-115050.3586724471</v>
      </c>
      <c r="L56" s="230">
        <f t="shared" ca="1" si="14"/>
        <v>-117202.70421534176</v>
      </c>
      <c r="M56" s="230">
        <f t="shared" ca="1" si="14"/>
        <v>-119640.5644905863</v>
      </c>
      <c r="N56" s="230">
        <f t="shared" ca="1" si="14"/>
        <v>-122035.0159595947</v>
      </c>
      <c r="O56" s="230">
        <f t="shared" ca="1" si="14"/>
        <v>-125271.58859381839</v>
      </c>
      <c r="P56" s="386"/>
      <c r="Q56" s="159"/>
    </row>
    <row r="57" spans="1:17" ht="7.15" customHeight="1" x14ac:dyDescent="0.25">
      <c r="A57" s="421"/>
      <c r="B57" s="424"/>
      <c r="C57" s="270"/>
      <c r="D57" s="250"/>
      <c r="E57" s="71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386"/>
      <c r="Q57" s="159"/>
    </row>
    <row r="58" spans="1:17" ht="15.75" thickBot="1" x14ac:dyDescent="0.3">
      <c r="A58" s="422"/>
      <c r="B58" s="427" t="s">
        <v>84</v>
      </c>
      <c r="C58" s="430" t="s">
        <v>19</v>
      </c>
      <c r="D58" s="416">
        <f t="shared" ref="D58:O58" ca="1" si="15">D5+D55+D56</f>
        <v>248562.53671139386</v>
      </c>
      <c r="E58" s="413"/>
      <c r="F58" s="416">
        <f t="shared" ca="1" si="15"/>
        <v>4376.917333333331</v>
      </c>
      <c r="G58" s="416">
        <f t="shared" ca="1" si="15"/>
        <v>30227.622015999994</v>
      </c>
      <c r="H58" s="416">
        <f t="shared" ca="1" si="15"/>
        <v>1624.6211179976963</v>
      </c>
      <c r="I58" s="416">
        <f t="shared" ca="1" si="15"/>
        <v>26185.246005130291</v>
      </c>
      <c r="J58" s="416">
        <f t="shared" ca="1" si="15"/>
        <v>54152.829574016447</v>
      </c>
      <c r="K58" s="416">
        <f t="shared" ca="1" si="15"/>
        <v>85629.763701569376</v>
      </c>
      <c r="L58" s="416">
        <f t="shared" ca="1" si="15"/>
        <v>120812.64399822762</v>
      </c>
      <c r="M58" s="416">
        <f t="shared" ca="1" si="15"/>
        <v>159650.28740012133</v>
      </c>
      <c r="N58" s="416">
        <f t="shared" ca="1" si="15"/>
        <v>202429.80764870584</v>
      </c>
      <c r="O58" s="416">
        <f t="shared" ca="1" si="15"/>
        <v>248562.53671139383</v>
      </c>
      <c r="P58" s="386"/>
      <c r="Q58" s="159"/>
    </row>
    <row r="59" spans="1:17" x14ac:dyDescent="0.25">
      <c r="A59" s="71"/>
      <c r="B59" s="71"/>
      <c r="C59" s="404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159"/>
    </row>
    <row r="60" spans="1:17" x14ac:dyDescent="0.25">
      <c r="A60" s="71"/>
      <c r="B60" s="71"/>
      <c r="C60" s="404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159"/>
    </row>
    <row r="61" spans="1:17" x14ac:dyDescent="0.25">
      <c r="A61" s="71"/>
      <c r="B61" s="71"/>
      <c r="C61" s="404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1:17" x14ac:dyDescent="0.25">
      <c r="A62" s="71"/>
      <c r="B62" s="71"/>
      <c r="C62" s="404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1:17" x14ac:dyDescent="0.25">
      <c r="A63" s="71"/>
      <c r="B63" s="71"/>
      <c r="C63" s="404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1:17" x14ac:dyDescent="0.25">
      <c r="A64" s="71"/>
      <c r="B64" s="71"/>
      <c r="C64" s="404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3:3" x14ac:dyDescent="0.25">
      <c r="C65" s="404"/>
    </row>
    <row r="66" spans="3:3" x14ac:dyDescent="0.25">
      <c r="C66" s="404"/>
    </row>
    <row r="67" spans="3:3" x14ac:dyDescent="0.25">
      <c r="C67" s="404"/>
    </row>
    <row r="68" spans="3:3" x14ac:dyDescent="0.25">
      <c r="C68" s="404"/>
    </row>
    <row r="69" spans="3:3" x14ac:dyDescent="0.25">
      <c r="C69" s="404"/>
    </row>
    <row r="70" spans="3:3" x14ac:dyDescent="0.25">
      <c r="C70" s="404"/>
    </row>
    <row r="71" spans="3:3" x14ac:dyDescent="0.25">
      <c r="C71" s="404"/>
    </row>
    <row r="72" spans="3:3" x14ac:dyDescent="0.25">
      <c r="C72" s="404"/>
    </row>
    <row r="73" spans="3:3" x14ac:dyDescent="0.25">
      <c r="C73" s="404"/>
    </row>
    <row r="74" spans="3:3" x14ac:dyDescent="0.25">
      <c r="C74" s="404"/>
    </row>
    <row r="75" spans="3:3" x14ac:dyDescent="0.25">
      <c r="C75" s="404"/>
    </row>
    <row r="76" spans="3:3" x14ac:dyDescent="0.25">
      <c r="C76" s="404"/>
    </row>
    <row r="77" spans="3:3" x14ac:dyDescent="0.25">
      <c r="C77" s="404"/>
    </row>
    <row r="78" spans="3:3" x14ac:dyDescent="0.25">
      <c r="C78" s="404"/>
    </row>
    <row r="79" spans="3:3" x14ac:dyDescent="0.25">
      <c r="C79" s="404"/>
    </row>
    <row r="80" spans="3:3" x14ac:dyDescent="0.25">
      <c r="C80" s="404"/>
    </row>
    <row r="81" spans="3:3" x14ac:dyDescent="0.25">
      <c r="C81" s="404"/>
    </row>
    <row r="82" spans="3:3" x14ac:dyDescent="0.25">
      <c r="C82" s="404"/>
    </row>
    <row r="83" spans="3:3" x14ac:dyDescent="0.25">
      <c r="C83" s="404"/>
    </row>
    <row r="84" spans="3:3" x14ac:dyDescent="0.25">
      <c r="C84" s="404"/>
    </row>
    <row r="85" spans="3:3" x14ac:dyDescent="0.25">
      <c r="C85" s="404"/>
    </row>
    <row r="86" spans="3:3" x14ac:dyDescent="0.25">
      <c r="C86" s="404"/>
    </row>
    <row r="87" spans="3:3" x14ac:dyDescent="0.25">
      <c r="C87" s="404"/>
    </row>
    <row r="88" spans="3:3" x14ac:dyDescent="0.25">
      <c r="C88" s="404"/>
    </row>
    <row r="89" spans="3:3" x14ac:dyDescent="0.25">
      <c r="C89" s="404"/>
    </row>
    <row r="90" spans="3:3" x14ac:dyDescent="0.25">
      <c r="C90" s="404"/>
    </row>
    <row r="91" spans="3:3" x14ac:dyDescent="0.25">
      <c r="C91" s="404"/>
    </row>
    <row r="92" spans="3:3" x14ac:dyDescent="0.25">
      <c r="C92" s="404"/>
    </row>
    <row r="93" spans="3:3" x14ac:dyDescent="0.25">
      <c r="C93" s="404"/>
    </row>
    <row r="94" spans="3:3" x14ac:dyDescent="0.25">
      <c r="C94" s="404"/>
    </row>
    <row r="95" spans="3:3" x14ac:dyDescent="0.25">
      <c r="C95" s="404"/>
    </row>
    <row r="96" spans="3:3" x14ac:dyDescent="0.25">
      <c r="C96" s="404"/>
    </row>
    <row r="97" spans="3:3" x14ac:dyDescent="0.25">
      <c r="C97" s="404"/>
    </row>
    <row r="98" spans="3:3" x14ac:dyDescent="0.25">
      <c r="C98" s="404"/>
    </row>
    <row r="99" spans="3:3" x14ac:dyDescent="0.25">
      <c r="C99" s="404"/>
    </row>
    <row r="100" spans="3:3" x14ac:dyDescent="0.25">
      <c r="C100" s="404"/>
    </row>
    <row r="101" spans="3:3" x14ac:dyDescent="0.25">
      <c r="C101" s="404"/>
    </row>
    <row r="102" spans="3:3" x14ac:dyDescent="0.25">
      <c r="C102" s="404"/>
    </row>
    <row r="103" spans="3:3" x14ac:dyDescent="0.25">
      <c r="C103" s="404"/>
    </row>
    <row r="104" spans="3:3" x14ac:dyDescent="0.25">
      <c r="C104" s="404"/>
    </row>
    <row r="105" spans="3:3" x14ac:dyDescent="0.25">
      <c r="C105" s="404"/>
    </row>
    <row r="106" spans="3:3" x14ac:dyDescent="0.25">
      <c r="C106" s="404"/>
    </row>
    <row r="107" spans="3:3" x14ac:dyDescent="0.25">
      <c r="C107" s="404"/>
    </row>
    <row r="108" spans="3:3" x14ac:dyDescent="0.25">
      <c r="C108" s="404"/>
    </row>
    <row r="109" spans="3:3" x14ac:dyDescent="0.25">
      <c r="C109" s="404"/>
    </row>
    <row r="110" spans="3:3" x14ac:dyDescent="0.25">
      <c r="C110" s="404"/>
    </row>
    <row r="111" spans="3:3" x14ac:dyDescent="0.25">
      <c r="C111" s="404"/>
    </row>
    <row r="112" spans="3:3" x14ac:dyDescent="0.25">
      <c r="C112" s="404"/>
    </row>
    <row r="113" spans="3:3" x14ac:dyDescent="0.25">
      <c r="C113" s="404"/>
    </row>
    <row r="114" spans="3:3" x14ac:dyDescent="0.25">
      <c r="C114" s="404"/>
    </row>
    <row r="115" spans="3:3" x14ac:dyDescent="0.25">
      <c r="C115" s="404"/>
    </row>
    <row r="116" spans="3:3" x14ac:dyDescent="0.25">
      <c r="C116" s="404"/>
    </row>
    <row r="117" spans="3:3" x14ac:dyDescent="0.25">
      <c r="C117" s="404"/>
    </row>
    <row r="118" spans="3:3" x14ac:dyDescent="0.25">
      <c r="C118" s="404"/>
    </row>
    <row r="119" spans="3:3" x14ac:dyDescent="0.25">
      <c r="C119" s="404"/>
    </row>
    <row r="120" spans="3:3" x14ac:dyDescent="0.25">
      <c r="C120" s="404"/>
    </row>
    <row r="121" spans="3:3" x14ac:dyDescent="0.25">
      <c r="C121" s="404"/>
    </row>
    <row r="122" spans="3:3" x14ac:dyDescent="0.25">
      <c r="C122" s="404"/>
    </row>
    <row r="123" spans="3:3" x14ac:dyDescent="0.25">
      <c r="C123" s="404"/>
    </row>
    <row r="124" spans="3:3" x14ac:dyDescent="0.25">
      <c r="C124" s="404"/>
    </row>
    <row r="125" spans="3:3" x14ac:dyDescent="0.25">
      <c r="C125" s="404"/>
    </row>
    <row r="126" spans="3:3" x14ac:dyDescent="0.25">
      <c r="C126" s="404"/>
    </row>
    <row r="127" spans="3:3" x14ac:dyDescent="0.25">
      <c r="C127" s="404"/>
    </row>
    <row r="128" spans="3:3" x14ac:dyDescent="0.25">
      <c r="C128" s="404"/>
    </row>
    <row r="129" spans="3:3" x14ac:dyDescent="0.25">
      <c r="C129" s="404"/>
    </row>
    <row r="130" spans="3:3" x14ac:dyDescent="0.25">
      <c r="C130" s="404"/>
    </row>
    <row r="131" spans="3:3" x14ac:dyDescent="0.25">
      <c r="C131" s="404"/>
    </row>
    <row r="132" spans="3:3" x14ac:dyDescent="0.25">
      <c r="C132" s="404"/>
    </row>
    <row r="133" spans="3:3" x14ac:dyDescent="0.25">
      <c r="C133" s="404"/>
    </row>
    <row r="134" spans="3:3" x14ac:dyDescent="0.25">
      <c r="C134" s="404"/>
    </row>
    <row r="135" spans="3:3" x14ac:dyDescent="0.25">
      <c r="C135" s="404"/>
    </row>
    <row r="136" spans="3:3" x14ac:dyDescent="0.25">
      <c r="C136" s="404"/>
    </row>
    <row r="137" spans="3:3" x14ac:dyDescent="0.25">
      <c r="C137" s="404"/>
    </row>
    <row r="138" spans="3:3" x14ac:dyDescent="0.25">
      <c r="C138" s="404"/>
    </row>
    <row r="139" spans="3:3" x14ac:dyDescent="0.25">
      <c r="C139" s="404"/>
    </row>
    <row r="140" spans="3:3" x14ac:dyDescent="0.25">
      <c r="C140" s="404"/>
    </row>
    <row r="141" spans="3:3" x14ac:dyDescent="0.25">
      <c r="C141" s="404"/>
    </row>
    <row r="142" spans="3:3" x14ac:dyDescent="0.25">
      <c r="C142" s="404"/>
    </row>
    <row r="143" spans="3:3" x14ac:dyDescent="0.25">
      <c r="C143" s="404"/>
    </row>
    <row r="144" spans="3:3" x14ac:dyDescent="0.25">
      <c r="C144" s="404"/>
    </row>
    <row r="145" spans="3:3" x14ac:dyDescent="0.25">
      <c r="C145" s="404"/>
    </row>
    <row r="146" spans="3:3" x14ac:dyDescent="0.25">
      <c r="C146" s="404"/>
    </row>
    <row r="147" spans="3:3" x14ac:dyDescent="0.25">
      <c r="C147" s="404"/>
    </row>
    <row r="148" spans="3:3" x14ac:dyDescent="0.25">
      <c r="C148" s="404"/>
    </row>
    <row r="149" spans="3:3" x14ac:dyDescent="0.25">
      <c r="C149" s="404"/>
    </row>
    <row r="150" spans="3:3" x14ac:dyDescent="0.25">
      <c r="C150" s="404"/>
    </row>
    <row r="151" spans="3:3" x14ac:dyDescent="0.25">
      <c r="C151" s="404"/>
    </row>
    <row r="152" spans="3:3" x14ac:dyDescent="0.25">
      <c r="C152" s="404"/>
    </row>
    <row r="153" spans="3:3" x14ac:dyDescent="0.25">
      <c r="C153" s="404"/>
    </row>
    <row r="154" spans="3:3" x14ac:dyDescent="0.25">
      <c r="C154" s="404"/>
    </row>
    <row r="155" spans="3:3" x14ac:dyDescent="0.25">
      <c r="C155" s="404"/>
    </row>
    <row r="156" spans="3:3" x14ac:dyDescent="0.25">
      <c r="C156" s="404"/>
    </row>
    <row r="157" spans="3:3" x14ac:dyDescent="0.25">
      <c r="C157" s="404"/>
    </row>
    <row r="158" spans="3:3" x14ac:dyDescent="0.25">
      <c r="C158" s="404"/>
    </row>
    <row r="159" spans="3:3" x14ac:dyDescent="0.25">
      <c r="C159" s="404"/>
    </row>
    <row r="160" spans="3:3" x14ac:dyDescent="0.25">
      <c r="C160" s="404"/>
    </row>
    <row r="161" spans="3:3" x14ac:dyDescent="0.25">
      <c r="C161" s="404"/>
    </row>
    <row r="162" spans="3:3" x14ac:dyDescent="0.25">
      <c r="C162" s="404"/>
    </row>
    <row r="163" spans="3:3" x14ac:dyDescent="0.25">
      <c r="C163" s="404"/>
    </row>
    <row r="164" spans="3:3" x14ac:dyDescent="0.25">
      <c r="C164" s="404"/>
    </row>
    <row r="165" spans="3:3" x14ac:dyDescent="0.25">
      <c r="C165" s="404"/>
    </row>
    <row r="166" spans="3:3" x14ac:dyDescent="0.25">
      <c r="C166" s="404"/>
    </row>
    <row r="167" spans="3:3" x14ac:dyDescent="0.25">
      <c r="C167" s="404"/>
    </row>
    <row r="168" spans="3:3" x14ac:dyDescent="0.25">
      <c r="C168" s="404"/>
    </row>
    <row r="169" spans="3:3" x14ac:dyDescent="0.25">
      <c r="C169" s="404"/>
    </row>
    <row r="170" spans="3:3" x14ac:dyDescent="0.25">
      <c r="C170" s="404"/>
    </row>
    <row r="171" spans="3:3" x14ac:dyDescent="0.25">
      <c r="C171" s="404"/>
    </row>
    <row r="172" spans="3:3" x14ac:dyDescent="0.25">
      <c r="C172" s="404"/>
    </row>
    <row r="173" spans="3:3" x14ac:dyDescent="0.25">
      <c r="C173" s="404"/>
    </row>
    <row r="174" spans="3:3" x14ac:dyDescent="0.25">
      <c r="C174" s="404"/>
    </row>
    <row r="175" spans="3:3" x14ac:dyDescent="0.25">
      <c r="C175" s="404"/>
    </row>
    <row r="176" spans="3:3" x14ac:dyDescent="0.25">
      <c r="C176" s="404"/>
    </row>
    <row r="177" spans="3:3" x14ac:dyDescent="0.25">
      <c r="C177" s="404"/>
    </row>
    <row r="178" spans="3:3" x14ac:dyDescent="0.25">
      <c r="C178" s="404"/>
    </row>
    <row r="179" spans="3:3" x14ac:dyDescent="0.25">
      <c r="C179" s="404"/>
    </row>
    <row r="180" spans="3:3" x14ac:dyDescent="0.25">
      <c r="C180" s="404"/>
    </row>
    <row r="181" spans="3:3" x14ac:dyDescent="0.25">
      <c r="C181" s="404"/>
    </row>
    <row r="182" spans="3:3" x14ac:dyDescent="0.25">
      <c r="C182" s="404"/>
    </row>
    <row r="183" spans="3:3" x14ac:dyDescent="0.25">
      <c r="C183" s="404"/>
    </row>
    <row r="184" spans="3:3" x14ac:dyDescent="0.25">
      <c r="C184" s="404"/>
    </row>
    <row r="185" spans="3:3" x14ac:dyDescent="0.25">
      <c r="C185" s="404"/>
    </row>
    <row r="186" spans="3:3" x14ac:dyDescent="0.25">
      <c r="C186" s="404"/>
    </row>
    <row r="187" spans="3:3" x14ac:dyDescent="0.25">
      <c r="C187" s="404"/>
    </row>
    <row r="188" spans="3:3" x14ac:dyDescent="0.25">
      <c r="C188" s="404"/>
    </row>
    <row r="189" spans="3:3" x14ac:dyDescent="0.25">
      <c r="C189" s="404"/>
    </row>
    <row r="190" spans="3:3" x14ac:dyDescent="0.25">
      <c r="C190" s="404"/>
    </row>
    <row r="191" spans="3:3" x14ac:dyDescent="0.25">
      <c r="C191" s="404"/>
    </row>
  </sheetData>
  <hyperlinks>
    <hyperlink ref="I1" location="Контроль!A1" display="Контроль!A1" xr:uid="{502F06EB-D80E-4B70-8B57-7F46F82EBBF9}"/>
  </hyperlinks>
  <pageMargins left="0.70866141732283472" right="0.70866141732283472" top="0.74803149606299213" bottom="0.74803149606299213" header="0.31496062992125984" footer="0.31496062992125984"/>
  <pageSetup paperSize="9" scale="66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0CC8E-B730-42C1-9412-74765B8E45C3}">
  <sheetPr codeName="Лист38">
    <tabColor theme="7" tint="0.39997558519241921"/>
    <outlinePr summaryBelow="0" summaryRight="0"/>
    <pageSetUpPr fitToPage="1"/>
  </sheetPr>
  <dimension ref="A1:AD74"/>
  <sheetViews>
    <sheetView zoomScaleNormal="100" workbookViewId="0">
      <pane xSplit="4" ySplit="4" topLeftCell="E5" activePane="bottomRight" state="frozen"/>
      <selection activeCell="C18" sqref="C18"/>
      <selection pane="topRight" activeCell="C18" sqref="C18"/>
      <selection pane="bottomLeft" activeCell="C18" sqref="C18"/>
      <selection pane="bottomRight" activeCell="B56" sqref="B56"/>
    </sheetView>
  </sheetViews>
  <sheetFormatPr defaultRowHeight="15" outlineLevelRow="1" outlineLevelCol="1" x14ac:dyDescent="0.25"/>
  <cols>
    <col min="1" max="1" width="9" customWidth="1"/>
    <col min="2" max="2" width="36" style="2" customWidth="1"/>
    <col min="3" max="3" width="8.140625" style="4" customWidth="1"/>
    <col min="4" max="4" width="8.42578125" hidden="1" customWidth="1"/>
    <col min="5" max="5" width="2.28515625" customWidth="1"/>
    <col min="16" max="16" width="2.285156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0" ht="25.5" x14ac:dyDescent="0.25">
      <c r="A1" s="693" t="s">
        <v>353</v>
      </c>
      <c r="B1" s="167"/>
      <c r="C1" s="447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158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x14ac:dyDescent="0.25">
      <c r="A2" s="71" t="str">
        <f>Паспорт_ФМ_резидент!B7</f>
        <v>Название инвест. проект 01</v>
      </c>
      <c r="B2" s="167"/>
      <c r="C2" s="447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162"/>
      <c r="Q2" s="159"/>
      <c r="R2" s="162">
        <v>11</v>
      </c>
      <c r="S2" s="126">
        <f>R2+1</f>
        <v>12</v>
      </c>
      <c r="T2" s="126">
        <f>S2+1</f>
        <v>13</v>
      </c>
      <c r="U2" s="126">
        <f t="shared" ref="U2:AA3" si="0">T2+1</f>
        <v>14</v>
      </c>
      <c r="V2" s="126">
        <f t="shared" si="0"/>
        <v>15</v>
      </c>
      <c r="W2" s="126">
        <f t="shared" si="0"/>
        <v>16</v>
      </c>
      <c r="X2" s="126">
        <f t="shared" si="0"/>
        <v>17</v>
      </c>
      <c r="Y2" s="126">
        <f t="shared" si="0"/>
        <v>18</v>
      </c>
      <c r="Z2" s="126">
        <f t="shared" si="0"/>
        <v>19</v>
      </c>
      <c r="AA2" s="126">
        <f t="shared" si="0"/>
        <v>20</v>
      </c>
      <c r="AB2" s="71"/>
      <c r="AC2" s="71"/>
      <c r="AD2" s="71"/>
    </row>
    <row r="3" spans="1:30" s="18" customFormat="1" x14ac:dyDescent="0.25">
      <c r="A3" s="127" t="s">
        <v>2</v>
      </c>
      <c r="B3" s="127" t="s">
        <v>3</v>
      </c>
      <c r="C3" s="127" t="s">
        <v>12</v>
      </c>
      <c r="D3" s="127"/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710"/>
      <c r="Q3" s="160"/>
      <c r="R3" s="163">
        <v>2035</v>
      </c>
      <c r="S3" s="163">
        <f>R3+1</f>
        <v>2036</v>
      </c>
      <c r="T3" s="163">
        <f>S3+1</f>
        <v>2037</v>
      </c>
      <c r="U3" s="163">
        <f t="shared" si="0"/>
        <v>2038</v>
      </c>
      <c r="V3" s="163">
        <f t="shared" si="0"/>
        <v>2039</v>
      </c>
      <c r="W3" s="163">
        <f t="shared" si="0"/>
        <v>2040</v>
      </c>
      <c r="X3" s="163">
        <f t="shared" si="0"/>
        <v>2041</v>
      </c>
      <c r="Y3" s="163">
        <f t="shared" si="0"/>
        <v>2042</v>
      </c>
      <c r="Z3" s="163">
        <f t="shared" si="0"/>
        <v>2043</v>
      </c>
      <c r="AA3" s="163">
        <f t="shared" si="0"/>
        <v>2044</v>
      </c>
      <c r="AB3" s="155"/>
      <c r="AC3" s="155"/>
      <c r="AD3" s="155"/>
    </row>
    <row r="4" spans="1:30" ht="8.1" customHeight="1" x14ac:dyDescent="0.25">
      <c r="A4" s="128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08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</row>
    <row r="5" spans="1:30" collapsed="1" x14ac:dyDescent="0.25">
      <c r="A5" s="440" t="s">
        <v>62</v>
      </c>
      <c r="B5" s="443" t="s">
        <v>30</v>
      </c>
      <c r="C5" s="244" t="s">
        <v>19</v>
      </c>
      <c r="D5" s="149"/>
      <c r="E5" s="71"/>
      <c r="F5" s="274">
        <f>SUM(F6:F11)</f>
        <v>18333.333333333332</v>
      </c>
      <c r="G5" s="274">
        <f>SUM(G6:G11)</f>
        <v>75000</v>
      </c>
      <c r="H5" s="274">
        <f t="shared" ref="H5:O5" si="2">SUM(H6:H11)</f>
        <v>68761.904761904749</v>
      </c>
      <c r="I5" s="274">
        <f t="shared" si="2"/>
        <v>62523.809523809512</v>
      </c>
      <c r="J5" s="274">
        <f t="shared" si="2"/>
        <v>56285.714285714268</v>
      </c>
      <c r="K5" s="274">
        <f t="shared" si="2"/>
        <v>50047.619047619031</v>
      </c>
      <c r="L5" s="274">
        <f t="shared" si="2"/>
        <v>43809.523809523787</v>
      </c>
      <c r="M5" s="274">
        <f t="shared" si="2"/>
        <v>38404.761904761879</v>
      </c>
      <c r="N5" s="274">
        <f t="shared" si="2"/>
        <v>32999.999999999971</v>
      </c>
      <c r="O5" s="274">
        <f t="shared" si="2"/>
        <v>31166.666666666642</v>
      </c>
      <c r="P5" s="718"/>
      <c r="Q5" s="159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71"/>
      <c r="AC5" s="71"/>
      <c r="AD5" s="71"/>
    </row>
    <row r="6" spans="1:30" hidden="1" outlineLevel="1" x14ac:dyDescent="0.25">
      <c r="A6" s="149"/>
      <c r="B6" s="444" t="s">
        <v>31</v>
      </c>
      <c r="C6" s="244" t="s">
        <v>19</v>
      </c>
      <c r="D6" s="149"/>
      <c r="E6" s="71"/>
      <c r="F6" s="436"/>
      <c r="G6" s="436"/>
      <c r="H6" s="436"/>
      <c r="I6" s="436"/>
      <c r="J6" s="436"/>
      <c r="K6" s="436"/>
      <c r="L6" s="436"/>
      <c r="M6" s="436"/>
      <c r="N6" s="436"/>
      <c r="O6" s="436"/>
      <c r="P6" s="164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0" hidden="1" outlineLevel="1" x14ac:dyDescent="0.25">
      <c r="A7" s="226" t="str" cm="1">
        <f t="array" aca="1" ref="A7" ca="1">HYPERLINK(CELL("адрес",Инвестиции!A11),"источник")</f>
        <v>источник</v>
      </c>
      <c r="B7" s="444" t="s">
        <v>32</v>
      </c>
      <c r="C7" s="244" t="s">
        <v>19</v>
      </c>
      <c r="D7" s="149"/>
      <c r="E7" s="71"/>
      <c r="F7" s="436">
        <f>Инвестиции!F11</f>
        <v>18333.333333333332</v>
      </c>
      <c r="G7" s="436">
        <f>Инвестиции!G11</f>
        <v>75000</v>
      </c>
      <c r="H7" s="436">
        <f>Инвестиции!H11</f>
        <v>68761.904761904749</v>
      </c>
      <c r="I7" s="436">
        <f>Инвестиции!I11</f>
        <v>62523.809523809512</v>
      </c>
      <c r="J7" s="436">
        <f>Инвестиции!J11</f>
        <v>56285.714285714268</v>
      </c>
      <c r="K7" s="436">
        <f>Инвестиции!K11</f>
        <v>50047.619047619031</v>
      </c>
      <c r="L7" s="436">
        <f>Инвестиции!L11</f>
        <v>43809.523809523787</v>
      </c>
      <c r="M7" s="436">
        <f>Инвестиции!M11</f>
        <v>38404.761904761879</v>
      </c>
      <c r="N7" s="436">
        <f>Инвестиции!N11</f>
        <v>32999.999999999971</v>
      </c>
      <c r="O7" s="436">
        <f>Инвестиции!O11</f>
        <v>31166.666666666642</v>
      </c>
      <c r="P7" s="164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0" hidden="1" outlineLevel="1" x14ac:dyDescent="0.25">
      <c r="A8" s="149"/>
      <c r="B8" s="444" t="s">
        <v>33</v>
      </c>
      <c r="C8" s="244" t="s">
        <v>19</v>
      </c>
      <c r="D8" s="149"/>
      <c r="E8" s="71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164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0" hidden="1" outlineLevel="1" x14ac:dyDescent="0.25">
      <c r="A9" s="149"/>
      <c r="B9" s="444" t="s">
        <v>34</v>
      </c>
      <c r="C9" s="244" t="s">
        <v>19</v>
      </c>
      <c r="D9" s="149"/>
      <c r="E9" s="71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164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0" hidden="1" outlineLevel="1" x14ac:dyDescent="0.25">
      <c r="A10" s="149"/>
      <c r="B10" s="444" t="s">
        <v>35</v>
      </c>
      <c r="C10" s="244" t="s">
        <v>19</v>
      </c>
      <c r="D10" s="149"/>
      <c r="E10" s="71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164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0" hidden="1" outlineLevel="1" x14ac:dyDescent="0.25">
      <c r="A11" s="149"/>
      <c r="B11" s="444" t="s">
        <v>36</v>
      </c>
      <c r="C11" s="244" t="s">
        <v>19</v>
      </c>
      <c r="D11" s="149"/>
      <c r="E11" s="71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164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0" collapsed="1" x14ac:dyDescent="0.25">
      <c r="A12" s="440" t="s">
        <v>63</v>
      </c>
      <c r="B12" s="443" t="s">
        <v>37</v>
      </c>
      <c r="C12" s="244" t="s">
        <v>19</v>
      </c>
      <c r="D12" s="149"/>
      <c r="E12" s="71"/>
      <c r="F12" s="274">
        <f ca="1">SUM(F13:F20)</f>
        <v>4376.917333333331</v>
      </c>
      <c r="G12" s="274">
        <f t="shared" ref="G12:O12" ca="1" si="3">SUM(G13:G20)</f>
        <v>30227.622015999994</v>
      </c>
      <c r="H12" s="274">
        <f t="shared" ca="1" si="3"/>
        <v>1624.6211179976963</v>
      </c>
      <c r="I12" s="274">
        <f t="shared" ca="1" si="3"/>
        <v>26185.246005130291</v>
      </c>
      <c r="J12" s="274">
        <f t="shared" ca="1" si="3"/>
        <v>54152.829574016447</v>
      </c>
      <c r="K12" s="274">
        <f t="shared" ca="1" si="3"/>
        <v>85629.763701569376</v>
      </c>
      <c r="L12" s="274">
        <f t="shared" ca="1" si="3"/>
        <v>120812.64399822762</v>
      </c>
      <c r="M12" s="274">
        <f t="shared" ca="1" si="3"/>
        <v>159650.28740012133</v>
      </c>
      <c r="N12" s="274">
        <f t="shared" ca="1" si="3"/>
        <v>202429.80764870584</v>
      </c>
      <c r="O12" s="274">
        <f t="shared" ca="1" si="3"/>
        <v>248562.53671139383</v>
      </c>
      <c r="P12" s="718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0" hidden="1" outlineLevel="1" x14ac:dyDescent="0.25">
      <c r="A13" s="149"/>
      <c r="B13" s="444" t="s">
        <v>38</v>
      </c>
      <c r="C13" s="244" t="s">
        <v>19</v>
      </c>
      <c r="D13" s="149"/>
      <c r="E13" s="71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164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0" hidden="1" outlineLevel="1" x14ac:dyDescent="0.25">
      <c r="A14" s="149"/>
      <c r="B14" s="444" t="s">
        <v>39</v>
      </c>
      <c r="C14" s="244" t="s">
        <v>19</v>
      </c>
      <c r="D14" s="149"/>
      <c r="E14" s="71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164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0" hidden="1" outlineLevel="1" x14ac:dyDescent="0.25">
      <c r="A15" s="149"/>
      <c r="B15" s="444" t="s">
        <v>238</v>
      </c>
      <c r="C15" s="244" t="s">
        <v>19</v>
      </c>
      <c r="D15" s="149"/>
      <c r="E15" s="71"/>
      <c r="F15" s="436"/>
      <c r="G15" s="436"/>
      <c r="H15" s="436"/>
      <c r="I15" s="436"/>
      <c r="J15" s="436"/>
      <c r="K15" s="436"/>
      <c r="L15" s="436"/>
      <c r="M15" s="436"/>
      <c r="N15" s="436"/>
      <c r="O15" s="436"/>
      <c r="P15" s="164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idden="1" outlineLevel="1" x14ac:dyDescent="0.25">
      <c r="A16" s="149"/>
      <c r="B16" s="444" t="s">
        <v>40</v>
      </c>
      <c r="C16" s="244" t="s">
        <v>19</v>
      </c>
      <c r="D16" s="149"/>
      <c r="E16" s="71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164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17" hidden="1" outlineLevel="1" x14ac:dyDescent="0.25">
      <c r="A17" s="149"/>
      <c r="B17" s="444" t="s">
        <v>41</v>
      </c>
      <c r="C17" s="244" t="s">
        <v>19</v>
      </c>
      <c r="D17" s="149"/>
      <c r="E17" s="71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164"/>
      <c r="Q17" s="159"/>
    </row>
    <row r="18" spans="1:17" ht="30" hidden="1" outlineLevel="1" x14ac:dyDescent="0.25">
      <c r="A18" s="149"/>
      <c r="B18" s="444" t="s">
        <v>42</v>
      </c>
      <c r="C18" s="244" t="s">
        <v>19</v>
      </c>
      <c r="D18" s="149"/>
      <c r="E18" s="71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164"/>
      <c r="Q18" s="159"/>
    </row>
    <row r="19" spans="1:17" hidden="1" outlineLevel="1" x14ac:dyDescent="0.25">
      <c r="A19" s="226" t="str" cm="1">
        <f t="array" aca="1" ref="A19" ca="1">HYPERLINK(CELL("адрес",БДДСбезЛьгот!A58),"источник")</f>
        <v>источник</v>
      </c>
      <c r="B19" s="444" t="s">
        <v>43</v>
      </c>
      <c r="C19" s="244" t="s">
        <v>19</v>
      </c>
      <c r="D19" s="149"/>
      <c r="E19" s="71"/>
      <c r="F19" s="436">
        <f ca="1">БДДСбезЛьгот!F58</f>
        <v>4376.917333333331</v>
      </c>
      <c r="G19" s="436">
        <f ca="1">БДДСбезЛьгот!G58</f>
        <v>30227.622015999994</v>
      </c>
      <c r="H19" s="436">
        <f ca="1">БДДСбезЛьгот!H58</f>
        <v>1624.6211179976963</v>
      </c>
      <c r="I19" s="436">
        <f ca="1">БДДСбезЛьгот!I58</f>
        <v>26185.246005130291</v>
      </c>
      <c r="J19" s="436">
        <f ca="1">БДДСбезЛьгот!J58</f>
        <v>54152.829574016447</v>
      </c>
      <c r="K19" s="436">
        <f ca="1">БДДСбезЛьгот!K58</f>
        <v>85629.763701569376</v>
      </c>
      <c r="L19" s="436">
        <f ca="1">БДДСбезЛьгот!L58</f>
        <v>120812.64399822762</v>
      </c>
      <c r="M19" s="436">
        <f ca="1">БДДСбезЛьгот!M58</f>
        <v>159650.28740012133</v>
      </c>
      <c r="N19" s="436">
        <f ca="1">БДДСбезЛьгот!N58</f>
        <v>202429.80764870584</v>
      </c>
      <c r="O19" s="436">
        <f ca="1">БДДСбезЛьгот!O58</f>
        <v>248562.53671139383</v>
      </c>
      <c r="P19" s="164"/>
      <c r="Q19" s="159"/>
    </row>
    <row r="20" spans="1:17" hidden="1" outlineLevel="1" x14ac:dyDescent="0.25">
      <c r="A20" s="149"/>
      <c r="B20" s="444" t="s">
        <v>44</v>
      </c>
      <c r="C20" s="244" t="s">
        <v>19</v>
      </c>
      <c r="D20" s="149"/>
      <c r="E20" s="71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164"/>
      <c r="Q20" s="159"/>
    </row>
    <row r="21" spans="1:17" ht="15.75" thickBot="1" x14ac:dyDescent="0.3">
      <c r="A21" s="441"/>
      <c r="B21" s="441" t="s">
        <v>45</v>
      </c>
      <c r="C21" s="244" t="s">
        <v>19</v>
      </c>
      <c r="D21" s="149"/>
      <c r="E21" s="71"/>
      <c r="F21" s="437">
        <f t="shared" ref="F21:O21" ca="1" si="4">SUM(F12,F5)</f>
        <v>22710.250666666663</v>
      </c>
      <c r="G21" s="437">
        <f t="shared" ca="1" si="4"/>
        <v>105227.62201599999</v>
      </c>
      <c r="H21" s="437">
        <f t="shared" ca="1" si="4"/>
        <v>70386.525879902445</v>
      </c>
      <c r="I21" s="437">
        <f t="shared" ca="1" si="4"/>
        <v>88709.055528939803</v>
      </c>
      <c r="J21" s="437">
        <f t="shared" ca="1" si="4"/>
        <v>110438.54385973071</v>
      </c>
      <c r="K21" s="437">
        <f t="shared" ca="1" si="4"/>
        <v>135677.3827491884</v>
      </c>
      <c r="L21" s="437">
        <f t="shared" ca="1" si="4"/>
        <v>164622.16780775139</v>
      </c>
      <c r="M21" s="437">
        <f t="shared" ca="1" si="4"/>
        <v>198055.04930488323</v>
      </c>
      <c r="N21" s="437">
        <f t="shared" ca="1" si="4"/>
        <v>235429.80764870581</v>
      </c>
      <c r="O21" s="437">
        <f t="shared" ca="1" si="4"/>
        <v>279729.20337806048</v>
      </c>
      <c r="P21" s="718"/>
      <c r="Q21" s="159"/>
    </row>
    <row r="22" spans="1:17" x14ac:dyDescent="0.25">
      <c r="A22" s="149"/>
      <c r="B22" s="445"/>
      <c r="C22" s="448"/>
      <c r="D22" s="149"/>
      <c r="E22" s="71"/>
      <c r="F22" s="438"/>
      <c r="G22" s="438"/>
      <c r="H22" s="438"/>
      <c r="I22" s="438"/>
      <c r="J22" s="438"/>
      <c r="K22" s="438"/>
      <c r="L22" s="438"/>
      <c r="M22" s="438"/>
      <c r="N22" s="438"/>
      <c r="O22" s="438"/>
      <c r="P22" s="164"/>
      <c r="Q22" s="159"/>
    </row>
    <row r="23" spans="1:17" collapsed="1" x14ac:dyDescent="0.25">
      <c r="A23" s="440" t="s">
        <v>64</v>
      </c>
      <c r="B23" s="443" t="s">
        <v>46</v>
      </c>
      <c r="C23" s="244" t="s">
        <v>19</v>
      </c>
      <c r="D23" s="149"/>
      <c r="E23" s="71"/>
      <c r="F23" s="274">
        <f ca="1">SUM(F24:F25)</f>
        <v>22710.250666666667</v>
      </c>
      <c r="G23" s="274">
        <f ca="1">SUM(G24:G25)</f>
        <v>10227.622016000001</v>
      </c>
      <c r="H23" s="274">
        <f t="shared" ref="H23:O23" ca="1" si="5">SUM(H24:H25)</f>
        <v>-12738.474120097526</v>
      </c>
      <c r="I23" s="274">
        <f t="shared" ca="1" si="5"/>
        <v>17459.055528939847</v>
      </c>
      <c r="J23" s="274">
        <f t="shared" ca="1" si="5"/>
        <v>51063.543859730766</v>
      </c>
      <c r="K23" s="274">
        <f t="shared" ca="1" si="5"/>
        <v>88177.382749188459</v>
      </c>
      <c r="L23" s="274">
        <f t="shared" ca="1" si="5"/>
        <v>128997.16780775148</v>
      </c>
      <c r="M23" s="274">
        <f t="shared" ca="1" si="5"/>
        <v>174305.04930488329</v>
      </c>
      <c r="N23" s="274">
        <f t="shared" ca="1" si="5"/>
        <v>223554.8076487059</v>
      </c>
      <c r="O23" s="274">
        <f t="shared" ca="1" si="5"/>
        <v>279729.20337806054</v>
      </c>
      <c r="P23" s="718"/>
      <c r="Q23" s="159"/>
    </row>
    <row r="24" spans="1:17" hidden="1" outlineLevel="1" x14ac:dyDescent="0.25">
      <c r="A24" s="226" t="str" cm="1">
        <f t="array" aca="1" ref="A24" ca="1">HYPERLINK(CELL("адрес",Финансы!A12),"источник")</f>
        <v>источник</v>
      </c>
      <c r="B24" s="444" t="s">
        <v>239</v>
      </c>
      <c r="C24" s="244" t="s">
        <v>19</v>
      </c>
      <c r="D24" s="149"/>
      <c r="E24" s="71"/>
      <c r="F24" s="436">
        <f>Финансы!F12</f>
        <v>30000</v>
      </c>
      <c r="G24" s="436">
        <f>Финансы!G12</f>
        <v>30000</v>
      </c>
      <c r="H24" s="436">
        <f>Финансы!H12</f>
        <v>30000</v>
      </c>
      <c r="I24" s="436">
        <f>Финансы!I12</f>
        <v>30000</v>
      </c>
      <c r="J24" s="436">
        <f>Финансы!J12</f>
        <v>30000</v>
      </c>
      <c r="K24" s="436">
        <f>Финансы!K12</f>
        <v>30000</v>
      </c>
      <c r="L24" s="436">
        <f>Финансы!L12</f>
        <v>30000</v>
      </c>
      <c r="M24" s="436">
        <f>Финансы!M12</f>
        <v>30000</v>
      </c>
      <c r="N24" s="436">
        <f>Финансы!N12</f>
        <v>30000</v>
      </c>
      <c r="O24" s="436">
        <f>Финансы!O12</f>
        <v>30000</v>
      </c>
      <c r="P24" s="164"/>
      <c r="Q24" s="159"/>
    </row>
    <row r="25" spans="1:17" hidden="1" outlineLevel="1" x14ac:dyDescent="0.25">
      <c r="A25" s="226" t="str" cm="1">
        <f t="array" aca="1" ref="A25" ca="1">HYPERLINK(CELL("адрес",БДРбезЛьгот!A35),"источник")</f>
        <v>источник</v>
      </c>
      <c r="B25" s="444" t="s">
        <v>47</v>
      </c>
      <c r="C25" s="244" t="s">
        <v>19</v>
      </c>
      <c r="D25" s="149"/>
      <c r="E25" s="71"/>
      <c r="F25" s="436">
        <f ca="1">БДРбезЛьгот!F35</f>
        <v>-7289.7493333333332</v>
      </c>
      <c r="G25" s="436">
        <f ca="1">БДРбезЛьгот!G35</f>
        <v>-19772.377983999999</v>
      </c>
      <c r="H25" s="436">
        <f ca="1">БДРбезЛьгот!H35</f>
        <v>-42738.474120097526</v>
      </c>
      <c r="I25" s="436">
        <f ca="1">БДРбезЛьгот!I35</f>
        <v>-12540.944471060153</v>
      </c>
      <c r="J25" s="436">
        <f ca="1">БДРбезЛьгот!J35</f>
        <v>21063.543859730766</v>
      </c>
      <c r="K25" s="436">
        <f ca="1">БДРбезЛьгот!K35</f>
        <v>58177.382749188466</v>
      </c>
      <c r="L25" s="436">
        <f ca="1">БДРбезЛьгот!L35</f>
        <v>98997.167807751481</v>
      </c>
      <c r="M25" s="436">
        <f ca="1">БДРбезЛьгот!M35</f>
        <v>144305.04930488329</v>
      </c>
      <c r="N25" s="436">
        <f ca="1">БДРбезЛьгот!N35</f>
        <v>193554.8076487059</v>
      </c>
      <c r="O25" s="436">
        <f ca="1">БДРбезЛьгот!O35</f>
        <v>249729.20337806054</v>
      </c>
      <c r="P25" s="164"/>
      <c r="Q25" s="159"/>
    </row>
    <row r="26" spans="1:17" collapsed="1" x14ac:dyDescent="0.25">
      <c r="A26" s="440" t="s">
        <v>65</v>
      </c>
      <c r="B26" s="443" t="s">
        <v>48</v>
      </c>
      <c r="C26" s="244" t="s">
        <v>19</v>
      </c>
      <c r="D26" s="149"/>
      <c r="E26" s="71"/>
      <c r="F26" s="274">
        <f ca="1">SUM(F27:F30)</f>
        <v>0</v>
      </c>
      <c r="G26" s="274">
        <f ca="1">SUM(G27:G30)</f>
        <v>95000</v>
      </c>
      <c r="H26" s="274">
        <f t="shared" ref="H26:O26" ca="1" si="6">SUM(H27:H30)</f>
        <v>83125</v>
      </c>
      <c r="I26" s="274">
        <f t="shared" ca="1" si="6"/>
        <v>71250</v>
      </c>
      <c r="J26" s="274">
        <f t="shared" ca="1" si="6"/>
        <v>59375</v>
      </c>
      <c r="K26" s="274">
        <f t="shared" ca="1" si="6"/>
        <v>47500</v>
      </c>
      <c r="L26" s="274">
        <f t="shared" ca="1" si="6"/>
        <v>35625</v>
      </c>
      <c r="M26" s="274">
        <f t="shared" ca="1" si="6"/>
        <v>23750</v>
      </c>
      <c r="N26" s="274">
        <f t="shared" ca="1" si="6"/>
        <v>11875</v>
      </c>
      <c r="O26" s="274">
        <f t="shared" ca="1" si="6"/>
        <v>0</v>
      </c>
      <c r="P26" s="718"/>
      <c r="Q26" s="159"/>
    </row>
    <row r="27" spans="1:17" hidden="1" outlineLevel="1" x14ac:dyDescent="0.25">
      <c r="A27" s="226" t="str" cm="1">
        <f t="array" aca="1" ref="A27" ca="1">HYPERLINK(CELL("адрес",Финансы!A24),"источник")</f>
        <v>источник</v>
      </c>
      <c r="B27" s="444" t="s">
        <v>49</v>
      </c>
      <c r="C27" s="244" t="s">
        <v>19</v>
      </c>
      <c r="D27" s="149"/>
      <c r="E27" s="71"/>
      <c r="F27" s="436">
        <f ca="1">Финансы!F24</f>
        <v>0</v>
      </c>
      <c r="G27" s="436">
        <f ca="1">Финансы!G24</f>
        <v>95000</v>
      </c>
      <c r="H27" s="436">
        <f ca="1">Финансы!H24</f>
        <v>83125</v>
      </c>
      <c r="I27" s="436">
        <f ca="1">Финансы!I24</f>
        <v>71250</v>
      </c>
      <c r="J27" s="436">
        <f ca="1">Финансы!J24</f>
        <v>59375</v>
      </c>
      <c r="K27" s="436">
        <f ca="1">Финансы!K24</f>
        <v>47500</v>
      </c>
      <c r="L27" s="436">
        <f ca="1">Финансы!L24</f>
        <v>35625</v>
      </c>
      <c r="M27" s="436">
        <f ca="1">Финансы!M24</f>
        <v>23750</v>
      </c>
      <c r="N27" s="436">
        <f ca="1">Финансы!N24</f>
        <v>11875</v>
      </c>
      <c r="O27" s="436">
        <f ca="1">Финансы!O24</f>
        <v>0</v>
      </c>
      <c r="P27" s="164"/>
      <c r="Q27" s="159"/>
    </row>
    <row r="28" spans="1:17" hidden="1" outlineLevel="1" x14ac:dyDescent="0.25">
      <c r="A28" s="226"/>
      <c r="B28" s="444" t="s">
        <v>54</v>
      </c>
      <c r="C28" s="244" t="s">
        <v>19</v>
      </c>
      <c r="D28" s="149"/>
      <c r="E28" s="71"/>
      <c r="F28" s="436"/>
      <c r="G28" s="436"/>
      <c r="H28" s="436"/>
      <c r="I28" s="436"/>
      <c r="J28" s="436"/>
      <c r="K28" s="436"/>
      <c r="L28" s="436"/>
      <c r="M28" s="436"/>
      <c r="N28" s="436"/>
      <c r="O28" s="436"/>
      <c r="P28" s="164"/>
      <c r="Q28" s="159"/>
    </row>
    <row r="29" spans="1:17" ht="30" hidden="1" outlineLevel="1" x14ac:dyDescent="0.25">
      <c r="A29" s="149"/>
      <c r="B29" s="444" t="s">
        <v>50</v>
      </c>
      <c r="C29" s="244" t="s">
        <v>19</v>
      </c>
      <c r="D29" s="149"/>
      <c r="E29" s="71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164"/>
      <c r="Q29" s="159"/>
    </row>
    <row r="30" spans="1:17" hidden="1" outlineLevel="1" x14ac:dyDescent="0.25">
      <c r="A30" s="149"/>
      <c r="B30" s="444" t="s">
        <v>51</v>
      </c>
      <c r="C30" s="244" t="s">
        <v>19</v>
      </c>
      <c r="D30" s="149"/>
      <c r="E30" s="71"/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164"/>
      <c r="Q30" s="159"/>
    </row>
    <row r="31" spans="1:17" collapsed="1" x14ac:dyDescent="0.25">
      <c r="A31" s="440" t="s">
        <v>66</v>
      </c>
      <c r="B31" s="443" t="s">
        <v>52</v>
      </c>
      <c r="C31" s="244" t="s">
        <v>19</v>
      </c>
      <c r="D31" s="149"/>
      <c r="E31" s="71"/>
      <c r="F31" s="274">
        <f>SUM(F32:F39)</f>
        <v>0</v>
      </c>
      <c r="G31" s="274">
        <f>SUM(G32:G39)</f>
        <v>0</v>
      </c>
      <c r="H31" s="274">
        <f t="shared" ref="H31:O31" si="7">SUM(H32:H39)</f>
        <v>0</v>
      </c>
      <c r="I31" s="274">
        <f t="shared" si="7"/>
        <v>0</v>
      </c>
      <c r="J31" s="274">
        <f t="shared" si="7"/>
        <v>0</v>
      </c>
      <c r="K31" s="274">
        <f t="shared" si="7"/>
        <v>0</v>
      </c>
      <c r="L31" s="274">
        <f t="shared" si="7"/>
        <v>0</v>
      </c>
      <c r="M31" s="274">
        <f t="shared" si="7"/>
        <v>0</v>
      </c>
      <c r="N31" s="274">
        <f t="shared" si="7"/>
        <v>0</v>
      </c>
      <c r="O31" s="274">
        <f t="shared" si="7"/>
        <v>0</v>
      </c>
      <c r="P31" s="718"/>
      <c r="Q31" s="159"/>
    </row>
    <row r="32" spans="1:17" hidden="1" outlineLevel="1" x14ac:dyDescent="0.25">
      <c r="A32" s="149"/>
      <c r="B32" s="444" t="s">
        <v>53</v>
      </c>
      <c r="C32" s="244" t="s">
        <v>19</v>
      </c>
      <c r="D32" s="149"/>
      <c r="E32" s="71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164"/>
      <c r="Q32" s="159"/>
    </row>
    <row r="33" spans="1:27" hidden="1" outlineLevel="1" x14ac:dyDescent="0.25">
      <c r="A33" s="149"/>
      <c r="B33" s="444" t="s">
        <v>54</v>
      </c>
      <c r="C33" s="244" t="s">
        <v>19</v>
      </c>
      <c r="D33" s="149"/>
      <c r="E33" s="71"/>
      <c r="F33" s="436"/>
      <c r="G33" s="436"/>
      <c r="H33" s="436"/>
      <c r="I33" s="436"/>
      <c r="J33" s="436"/>
      <c r="K33" s="436"/>
      <c r="L33" s="436"/>
      <c r="M33" s="436"/>
      <c r="N33" s="436"/>
      <c r="O33" s="436"/>
      <c r="P33" s="164"/>
      <c r="Q33" s="159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ht="30" hidden="1" outlineLevel="1" x14ac:dyDescent="0.25">
      <c r="A34" s="149"/>
      <c r="B34" s="444" t="s">
        <v>55</v>
      </c>
      <c r="C34" s="244" t="s">
        <v>19</v>
      </c>
      <c r="D34" s="149"/>
      <c r="E34" s="71"/>
      <c r="F34" s="436"/>
      <c r="G34" s="436"/>
      <c r="H34" s="436"/>
      <c r="I34" s="436"/>
      <c r="J34" s="436"/>
      <c r="K34" s="436"/>
      <c r="L34" s="436"/>
      <c r="M34" s="436"/>
      <c r="N34" s="436"/>
      <c r="O34" s="436"/>
      <c r="P34" s="164"/>
      <c r="Q34" s="159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ht="30" hidden="1" outlineLevel="1" x14ac:dyDescent="0.25">
      <c r="A35" s="149"/>
      <c r="B35" s="444" t="s">
        <v>56</v>
      </c>
      <c r="C35" s="244" t="s">
        <v>19</v>
      </c>
      <c r="D35" s="149"/>
      <c r="E35" s="71"/>
      <c r="F35" s="436"/>
      <c r="G35" s="436"/>
      <c r="H35" s="436"/>
      <c r="I35" s="436"/>
      <c r="J35" s="436"/>
      <c r="K35" s="436"/>
      <c r="L35" s="436"/>
      <c r="M35" s="436"/>
      <c r="N35" s="436"/>
      <c r="O35" s="436"/>
      <c r="P35" s="164"/>
      <c r="Q35" s="159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ht="30" hidden="1" outlineLevel="1" x14ac:dyDescent="0.25">
      <c r="A36" s="149"/>
      <c r="B36" s="444" t="s">
        <v>57</v>
      </c>
      <c r="C36" s="244" t="s">
        <v>19</v>
      </c>
      <c r="D36" s="149"/>
      <c r="E36" s="71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164"/>
      <c r="Q36" s="159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hidden="1" outlineLevel="1" x14ac:dyDescent="0.25">
      <c r="A37" s="149"/>
      <c r="B37" s="444" t="s">
        <v>58</v>
      </c>
      <c r="C37" s="244" t="s">
        <v>19</v>
      </c>
      <c r="D37" s="149"/>
      <c r="E37" s="71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164"/>
      <c r="Q37" s="159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hidden="1" outlineLevel="1" x14ac:dyDescent="0.25">
      <c r="A38" s="149"/>
      <c r="B38" s="444" t="s">
        <v>86</v>
      </c>
      <c r="C38" s="244" t="s">
        <v>19</v>
      </c>
      <c r="D38" s="149"/>
      <c r="E38" s="71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164"/>
      <c r="Q38" s="159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ht="30" hidden="1" outlineLevel="1" x14ac:dyDescent="0.25">
      <c r="A39" s="149"/>
      <c r="B39" s="444" t="s">
        <v>59</v>
      </c>
      <c r="C39" s="244" t="s">
        <v>19</v>
      </c>
      <c r="D39" s="149"/>
      <c r="E39" s="71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164"/>
      <c r="Q39" s="159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ht="29.25" thickBot="1" x14ac:dyDescent="0.3">
      <c r="A40" s="441"/>
      <c r="B40" s="441" t="s">
        <v>60</v>
      </c>
      <c r="C40" s="244" t="s">
        <v>19</v>
      </c>
      <c r="D40" s="149"/>
      <c r="E40" s="71"/>
      <c r="F40" s="437">
        <f ca="1">SUM(F23,F26,F31)</f>
        <v>22710.250666666667</v>
      </c>
      <c r="G40" s="437">
        <f ca="1">SUM(G23,G26,G31)</f>
        <v>105227.62201600001</v>
      </c>
      <c r="H40" s="437">
        <f t="shared" ref="H40:O40" ca="1" si="8">SUM(H23,H26,H31)</f>
        <v>70386.525879902474</v>
      </c>
      <c r="I40" s="437">
        <f t="shared" ca="1" si="8"/>
        <v>88709.055528939847</v>
      </c>
      <c r="J40" s="437">
        <f t="shared" ca="1" si="8"/>
        <v>110438.54385973077</v>
      </c>
      <c r="K40" s="437">
        <f t="shared" ca="1" si="8"/>
        <v>135677.38274918846</v>
      </c>
      <c r="L40" s="437">
        <f t="shared" ca="1" si="8"/>
        <v>164622.16780775148</v>
      </c>
      <c r="M40" s="437">
        <f t="shared" ca="1" si="8"/>
        <v>198055.04930488329</v>
      </c>
      <c r="N40" s="437">
        <f t="shared" ca="1" si="8"/>
        <v>235429.8076487059</v>
      </c>
      <c r="O40" s="437">
        <f t="shared" ca="1" si="8"/>
        <v>279729.20337806054</v>
      </c>
      <c r="P40" s="718"/>
      <c r="Q40" s="159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x14ac:dyDescent="0.25">
      <c r="A41" s="149"/>
      <c r="B41" s="180"/>
      <c r="C41" s="449"/>
      <c r="D41" s="149"/>
      <c r="E41" s="71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1" customFormat="1" x14ac:dyDescent="0.25">
      <c r="A42" s="442"/>
      <c r="B42" s="446" t="s">
        <v>61</v>
      </c>
      <c r="C42" s="271"/>
      <c r="D42" s="442"/>
      <c r="E42" s="435"/>
      <c r="F42" s="439">
        <f ca="1">F21-F40</f>
        <v>0</v>
      </c>
      <c r="G42" s="439">
        <f t="shared" ref="G42:O42" ca="1" si="9">G21-G40</f>
        <v>0</v>
      </c>
      <c r="H42" s="439">
        <f t="shared" ca="1" si="9"/>
        <v>0</v>
      </c>
      <c r="I42" s="439">
        <f t="shared" ca="1" si="9"/>
        <v>0</v>
      </c>
      <c r="J42" s="439">
        <f t="shared" ca="1" si="9"/>
        <v>0</v>
      </c>
      <c r="K42" s="439">
        <f t="shared" ca="1" si="9"/>
        <v>0</v>
      </c>
      <c r="L42" s="439">
        <f t="shared" ca="1" si="9"/>
        <v>0</v>
      </c>
      <c r="M42" s="439">
        <f t="shared" ca="1" si="9"/>
        <v>0</v>
      </c>
      <c r="N42" s="439">
        <f t="shared" ca="1" si="9"/>
        <v>0</v>
      </c>
      <c r="O42" s="439">
        <f t="shared" ca="1" si="9"/>
        <v>0</v>
      </c>
      <c r="P42" s="719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x14ac:dyDescent="0.25">
      <c r="A43" s="149"/>
      <c r="B43" s="178"/>
      <c r="C43" s="271"/>
      <c r="D43" s="149"/>
      <c r="E43" s="71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x14ac:dyDescent="0.25">
      <c r="A44" s="149"/>
      <c r="B44" s="178"/>
      <c r="C44" s="271"/>
      <c r="D44" s="149"/>
      <c r="E44" s="71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x14ac:dyDescent="0.25">
      <c r="A45" s="149"/>
      <c r="B45" s="178"/>
      <c r="C45" s="271"/>
      <c r="D45" s="149"/>
      <c r="E45" s="71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x14ac:dyDescent="0.25">
      <c r="A46" s="149"/>
      <c r="B46" s="178"/>
      <c r="C46" s="271"/>
      <c r="D46" s="149"/>
      <c r="E46" s="71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x14ac:dyDescent="0.25">
      <c r="A47" s="149"/>
      <c r="B47" s="178"/>
      <c r="C47" s="271"/>
      <c r="D47" s="149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x14ac:dyDescent="0.25">
      <c r="A48" s="149"/>
      <c r="B48" s="178"/>
      <c r="C48" s="271"/>
      <c r="D48" s="149"/>
      <c r="E48" s="71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16" x14ac:dyDescent="0.25">
      <c r="A49" s="149"/>
      <c r="B49" s="178"/>
      <c r="C49" s="271"/>
      <c r="D49" s="149"/>
      <c r="E49" s="71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71"/>
    </row>
    <row r="50" spans="1:16" x14ac:dyDescent="0.25">
      <c r="A50" s="149"/>
      <c r="B50" s="178"/>
      <c r="C50" s="271"/>
      <c r="D50" s="149"/>
      <c r="E50" s="71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71"/>
    </row>
    <row r="51" spans="1:16" x14ac:dyDescent="0.25">
      <c r="A51" s="149"/>
      <c r="B51" s="178"/>
      <c r="C51" s="271"/>
      <c r="D51" s="149"/>
      <c r="E51" s="71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71"/>
    </row>
    <row r="52" spans="1:16" x14ac:dyDescent="0.25">
      <c r="A52" s="149"/>
      <c r="B52" s="178"/>
      <c r="C52" s="271"/>
      <c r="D52" s="149"/>
      <c r="E52" s="71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71"/>
    </row>
    <row r="53" spans="1:16" x14ac:dyDescent="0.25">
      <c r="A53" s="149"/>
      <c r="B53" s="178"/>
      <c r="C53" s="271"/>
      <c r="D53" s="149"/>
      <c r="E53" s="71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71"/>
    </row>
    <row r="54" spans="1:16" x14ac:dyDescent="0.25">
      <c r="A54" s="149"/>
      <c r="B54" s="178"/>
      <c r="C54" s="271"/>
      <c r="D54" s="149"/>
      <c r="E54" s="71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71"/>
    </row>
    <row r="55" spans="1:16" x14ac:dyDescent="0.25">
      <c r="A55" s="149"/>
      <c r="B55" s="178"/>
      <c r="C55" s="271"/>
      <c r="D55" s="149"/>
      <c r="E55" s="71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71"/>
    </row>
    <row r="56" spans="1:16" x14ac:dyDescent="0.25">
      <c r="A56" s="149"/>
      <c r="B56" s="178"/>
      <c r="C56" s="271"/>
      <c r="D56" s="149"/>
      <c r="E56" s="71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71"/>
    </row>
    <row r="57" spans="1:16" x14ac:dyDescent="0.25">
      <c r="A57" s="149"/>
      <c r="B57" s="178"/>
      <c r="C57" s="271"/>
      <c r="D57" s="149"/>
      <c r="E57" s="71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71"/>
    </row>
    <row r="58" spans="1:16" x14ac:dyDescent="0.25">
      <c r="A58" s="149"/>
      <c r="B58" s="178"/>
      <c r="C58" s="271"/>
      <c r="D58" s="149"/>
      <c r="E58" s="71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71"/>
    </row>
    <row r="59" spans="1:16" x14ac:dyDescent="0.25">
      <c r="A59" s="149"/>
      <c r="B59" s="178"/>
      <c r="C59" s="271"/>
      <c r="D59" s="149"/>
      <c r="E59" s="71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71"/>
    </row>
    <row r="60" spans="1:16" x14ac:dyDescent="0.25">
      <c r="A60" s="149"/>
      <c r="B60" s="178"/>
      <c r="C60" s="271"/>
      <c r="D60" s="149"/>
      <c r="E60" s="71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71"/>
    </row>
    <row r="61" spans="1:16" x14ac:dyDescent="0.25">
      <c r="A61" s="149"/>
      <c r="B61" s="178"/>
      <c r="C61" s="271"/>
      <c r="D61" s="149"/>
      <c r="E61" s="71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71"/>
    </row>
    <row r="62" spans="1:16" x14ac:dyDescent="0.25">
      <c r="A62" s="149"/>
      <c r="B62" s="178"/>
      <c r="C62" s="271"/>
      <c r="D62" s="149"/>
      <c r="E62" s="71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71"/>
    </row>
    <row r="63" spans="1:16" x14ac:dyDescent="0.25">
      <c r="A63" s="149"/>
      <c r="B63" s="178"/>
      <c r="C63" s="271"/>
      <c r="D63" s="149"/>
      <c r="E63" s="71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71"/>
    </row>
    <row r="64" spans="1:16" x14ac:dyDescent="0.25">
      <c r="A64" s="149"/>
      <c r="B64" s="178"/>
      <c r="C64" s="271"/>
      <c r="D64" s="149"/>
      <c r="E64" s="71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71"/>
    </row>
    <row r="65" spans="1:16" x14ac:dyDescent="0.25">
      <c r="A65" s="149"/>
      <c r="B65" s="178"/>
      <c r="C65" s="271"/>
      <c r="D65" s="149"/>
      <c r="E65" s="71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71"/>
    </row>
    <row r="66" spans="1:16" x14ac:dyDescent="0.25">
      <c r="A66" s="149"/>
      <c r="B66" s="178"/>
      <c r="C66" s="271"/>
      <c r="D66" s="149"/>
      <c r="E66" s="71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71"/>
    </row>
    <row r="67" spans="1:16" x14ac:dyDescent="0.25">
      <c r="A67" s="149"/>
      <c r="B67" s="178"/>
      <c r="C67" s="271"/>
      <c r="D67" s="149"/>
      <c r="E67" s="71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71"/>
    </row>
    <row r="68" spans="1:16" x14ac:dyDescent="0.25">
      <c r="A68" s="149"/>
      <c r="B68" s="178"/>
      <c r="C68" s="271"/>
      <c r="D68" s="149"/>
      <c r="E68" s="71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71"/>
    </row>
    <row r="69" spans="1:16" x14ac:dyDescent="0.25">
      <c r="A69" s="149"/>
      <c r="B69" s="178"/>
      <c r="C69" s="271"/>
      <c r="D69" s="149"/>
      <c r="E69" s="71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71"/>
    </row>
    <row r="70" spans="1:16" x14ac:dyDescent="0.25">
      <c r="A70" s="149"/>
      <c r="B70" s="178"/>
      <c r="C70" s="271"/>
      <c r="D70" s="149"/>
      <c r="E70" s="71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71"/>
    </row>
    <row r="71" spans="1:16" x14ac:dyDescent="0.25">
      <c r="A71" s="149"/>
      <c r="B71" s="178"/>
      <c r="C71" s="271"/>
      <c r="D71" s="149"/>
      <c r="E71" s="71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71"/>
    </row>
    <row r="72" spans="1:16" x14ac:dyDescent="0.25">
      <c r="A72" s="149"/>
      <c r="B72" s="178"/>
      <c r="C72" s="271"/>
      <c r="D72" s="149"/>
      <c r="E72" s="71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71"/>
    </row>
    <row r="73" spans="1:16" x14ac:dyDescent="0.25">
      <c r="A73" s="149"/>
      <c r="B73" s="178"/>
      <c r="C73" s="271"/>
      <c r="D73" s="149"/>
      <c r="E73" s="71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71"/>
    </row>
    <row r="74" spans="1:16" x14ac:dyDescent="0.25">
      <c r="A74" s="149"/>
      <c r="B74" s="178"/>
      <c r="C74" s="271"/>
      <c r="D74" s="149"/>
      <c r="E74" s="71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71"/>
    </row>
  </sheetData>
  <hyperlinks>
    <hyperlink ref="I1" location="Контроль!A1" display="Контроль!A1" xr:uid="{5280380F-DA63-4E33-839E-903709AC4D3E}"/>
  </hyperlinks>
  <pageMargins left="0.70866141732283472" right="0.70866141732283472" top="0.74803149606299213" bottom="0.74803149606299213" header="0.31496062992125984" footer="0.31496062992125984"/>
  <pageSetup paperSize="9" scale="77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18F3-AE37-4D5C-900A-BCAECC50589D}">
  <sheetPr codeName="Лист9">
    <tabColor theme="1"/>
    <pageSetUpPr fitToPage="1"/>
  </sheetPr>
  <dimension ref="A1:S296"/>
  <sheetViews>
    <sheetView zoomScale="115" zoomScaleNormal="115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A157" sqref="A157"/>
    </sheetView>
  </sheetViews>
  <sheetFormatPr defaultRowHeight="15" x14ac:dyDescent="0.25"/>
  <cols>
    <col min="1" max="1" width="11.5703125" customWidth="1"/>
    <col min="2" max="2" width="36.5703125" customWidth="1"/>
    <col min="3" max="3" width="3" customWidth="1"/>
    <col min="4" max="4" width="11" customWidth="1"/>
    <col min="5" max="5" width="2.28515625" customWidth="1"/>
    <col min="16" max="16" width="2.42578125" customWidth="1"/>
    <col min="18" max="18" width="8.85546875" style="70"/>
  </cols>
  <sheetData>
    <row r="1" spans="1:19" ht="18.75" x14ac:dyDescent="0.3">
      <c r="A1" s="694" t="s">
        <v>23</v>
      </c>
      <c r="B1" s="71"/>
      <c r="C1" s="71"/>
      <c r="D1" s="71"/>
      <c r="E1" s="71"/>
      <c r="F1" s="384" t="str">
        <f t="shared" ref="F1:O1" ca="1" si="0">IF(F64=0,"Верно","Ошибка!")</f>
        <v>Верно</v>
      </c>
      <c r="G1" s="384" t="str">
        <f t="shared" ca="1" si="0"/>
        <v>Верно</v>
      </c>
      <c r="H1" s="384" t="str">
        <f t="shared" ca="1" si="0"/>
        <v>Верно</v>
      </c>
      <c r="I1" s="384" t="str">
        <f t="shared" ca="1" si="0"/>
        <v>Верно</v>
      </c>
      <c r="J1" s="384" t="str">
        <f t="shared" ca="1" si="0"/>
        <v>Верно</v>
      </c>
      <c r="K1" s="384" t="str">
        <f t="shared" ca="1" si="0"/>
        <v>Верно</v>
      </c>
      <c r="L1" s="384" t="str">
        <f t="shared" ca="1" si="0"/>
        <v>Верно</v>
      </c>
      <c r="M1" s="384" t="str">
        <f t="shared" ca="1" si="0"/>
        <v>Верно</v>
      </c>
      <c r="N1" s="384" t="str">
        <f t="shared" ca="1" si="0"/>
        <v>Верно</v>
      </c>
      <c r="O1" s="384" t="str">
        <f t="shared" ca="1" si="0"/>
        <v>Верно</v>
      </c>
      <c r="P1" s="71"/>
      <c r="Q1" s="124" t="str">
        <f ca="1">IF(ROUND(SUM(F64:O64),0)=0,"Ошибок нет","Имеются ошибки. Смотри лист Контроль")</f>
        <v>Ошибок нет</v>
      </c>
      <c r="R1" s="639"/>
      <c r="S1" s="71"/>
    </row>
    <row r="2" spans="1:19" x14ac:dyDescent="0.25">
      <c r="A2" s="71" t="str">
        <f>Паспорт_ФМ_резидент!B7</f>
        <v>Название инвест. проект 01</v>
      </c>
      <c r="B2" s="71"/>
      <c r="C2" s="71"/>
      <c r="D2" s="71"/>
      <c r="E2" s="71"/>
      <c r="F2" s="126">
        <v>1</v>
      </c>
      <c r="G2" s="126">
        <v>2</v>
      </c>
      <c r="H2" s="126">
        <v>3</v>
      </c>
      <c r="I2" s="126">
        <v>4</v>
      </c>
      <c r="J2" s="126">
        <v>5</v>
      </c>
      <c r="K2" s="126">
        <v>6</v>
      </c>
      <c r="L2" s="126">
        <v>7</v>
      </c>
      <c r="M2" s="126">
        <v>8</v>
      </c>
      <c r="N2" s="126">
        <v>9</v>
      </c>
      <c r="O2" s="126">
        <v>10</v>
      </c>
      <c r="P2" s="71"/>
      <c r="Q2" s="71"/>
      <c r="R2" s="639"/>
      <c r="S2" s="71"/>
    </row>
    <row r="3" spans="1:19" s="18" customFormat="1" ht="28.5" x14ac:dyDescent="0.25">
      <c r="A3" s="78" t="s">
        <v>2</v>
      </c>
      <c r="B3" s="78" t="s">
        <v>3</v>
      </c>
      <c r="C3" s="190"/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5"/>
      <c r="Q3" s="155"/>
      <c r="R3" s="639">
        <f>COUNTA(R6:R45)</f>
        <v>17</v>
      </c>
      <c r="S3" s="155"/>
    </row>
    <row r="4" spans="1:19" ht="8.65" customHeight="1" x14ac:dyDescent="0.25">
      <c r="A4" s="641"/>
      <c r="B4" s="108"/>
      <c r="C4" s="128"/>
      <c r="D4" s="128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639"/>
      <c r="S4" s="128"/>
    </row>
    <row r="5" spans="1:19" x14ac:dyDescent="0.25">
      <c r="A5" s="642" t="s">
        <v>762</v>
      </c>
      <c r="B5" s="637"/>
      <c r="C5" s="654"/>
      <c r="D5" s="654"/>
      <c r="E5" s="602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71"/>
      <c r="Q5" s="401" t="s">
        <v>634</v>
      </c>
      <c r="R5" s="639"/>
      <c r="S5" s="108"/>
    </row>
    <row r="6" spans="1:19" ht="15.75" x14ac:dyDescent="0.25">
      <c r="A6" s="643" t="s">
        <v>651</v>
      </c>
      <c r="B6" s="108"/>
      <c r="C6" s="128"/>
      <c r="D6" s="128"/>
      <c r="E6" s="71"/>
      <c r="F6" s="108"/>
      <c r="G6" s="108" t="b">
        <v>1</v>
      </c>
      <c r="H6" s="108"/>
      <c r="I6" s="108"/>
      <c r="J6" s="108"/>
      <c r="K6" s="108"/>
      <c r="L6" s="108"/>
      <c r="M6" s="108"/>
      <c r="N6" s="108"/>
      <c r="O6" s="108"/>
      <c r="P6" s="71"/>
      <c r="Q6" s="71"/>
      <c r="R6" s="639"/>
      <c r="S6" s="108"/>
    </row>
    <row r="7" spans="1:19" x14ac:dyDescent="0.25">
      <c r="A7" s="644" t="s">
        <v>631</v>
      </c>
      <c r="B7" s="648"/>
      <c r="C7" s="128"/>
      <c r="D7" s="128"/>
      <c r="E7" s="71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71"/>
      <c r="Q7" s="71"/>
      <c r="R7" s="639"/>
      <c r="S7" s="108"/>
    </row>
    <row r="8" spans="1:19" ht="38.25" x14ac:dyDescent="0.25">
      <c r="A8" s="641"/>
      <c r="B8" s="649" t="s">
        <v>633</v>
      </c>
      <c r="C8" s="128"/>
      <c r="D8" s="128"/>
      <c r="E8" s="71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71"/>
      <c r="Q8" s="99"/>
      <c r="R8" s="640" t="b">
        <v>0</v>
      </c>
      <c r="S8" s="108"/>
    </row>
    <row r="9" spans="1:19" ht="38.25" x14ac:dyDescent="0.25">
      <c r="A9" s="641"/>
      <c r="B9" s="649" t="s">
        <v>628</v>
      </c>
      <c r="C9" s="128"/>
      <c r="D9" s="128"/>
      <c r="E9" s="71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71"/>
      <c r="Q9" s="99"/>
      <c r="R9" s="640" t="b">
        <v>0</v>
      </c>
      <c r="S9" s="108"/>
    </row>
    <row r="10" spans="1:19" ht="38.25" x14ac:dyDescent="0.25">
      <c r="A10" s="641"/>
      <c r="B10" s="649" t="s">
        <v>630</v>
      </c>
      <c r="C10" s="128"/>
      <c r="D10" s="128"/>
      <c r="E10" s="71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71"/>
      <c r="Q10" s="99"/>
      <c r="R10" s="640" t="b">
        <v>0</v>
      </c>
      <c r="S10" s="108"/>
    </row>
    <row r="11" spans="1:19" ht="38.25" x14ac:dyDescent="0.25">
      <c r="A11" s="641"/>
      <c r="B11" s="649" t="s">
        <v>629</v>
      </c>
      <c r="C11" s="128"/>
      <c r="D11" s="128"/>
      <c r="E11" s="71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71"/>
      <c r="Q11" s="99"/>
      <c r="R11" s="640" t="b">
        <v>0</v>
      </c>
      <c r="S11" s="108"/>
    </row>
    <row r="12" spans="1:19" x14ac:dyDescent="0.25">
      <c r="A12" s="641"/>
      <c r="B12" s="71"/>
      <c r="C12" s="128"/>
      <c r="D12" s="128"/>
      <c r="E12" s="71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71"/>
      <c r="Q12" s="71"/>
      <c r="R12" s="639"/>
      <c r="S12" s="108"/>
    </row>
    <row r="13" spans="1:19" x14ac:dyDescent="0.25">
      <c r="A13" s="644" t="s">
        <v>632</v>
      </c>
      <c r="B13" s="648"/>
      <c r="C13" s="128"/>
      <c r="D13" s="128"/>
      <c r="E13" s="71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71"/>
      <c r="Q13" s="71"/>
      <c r="R13" s="639"/>
      <c r="S13" s="108"/>
    </row>
    <row r="14" spans="1:19" ht="38.25" x14ac:dyDescent="0.25">
      <c r="A14" s="641"/>
      <c r="B14" s="649" t="s">
        <v>635</v>
      </c>
      <c r="C14" s="128"/>
      <c r="D14" s="128"/>
      <c r="E14" s="71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71"/>
      <c r="Q14" s="99"/>
      <c r="R14" s="640" t="b">
        <v>0</v>
      </c>
      <c r="S14" s="108"/>
    </row>
    <row r="15" spans="1:19" x14ac:dyDescent="0.25">
      <c r="A15" s="641"/>
      <c r="B15" s="71"/>
      <c r="C15" s="128"/>
      <c r="D15" s="128"/>
      <c r="E15" s="71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71"/>
      <c r="Q15" s="71"/>
      <c r="R15" s="639"/>
      <c r="S15" s="108"/>
    </row>
    <row r="16" spans="1:19" x14ac:dyDescent="0.25">
      <c r="A16" s="644" t="s">
        <v>636</v>
      </c>
      <c r="B16" s="648"/>
      <c r="C16" s="128"/>
      <c r="D16" s="128"/>
      <c r="E16" s="71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71"/>
      <c r="Q16" s="71"/>
      <c r="R16" s="639"/>
      <c r="S16" s="108"/>
    </row>
    <row r="17" spans="1:19" ht="25.5" x14ac:dyDescent="0.25">
      <c r="A17" s="641"/>
      <c r="B17" s="649" t="s">
        <v>642</v>
      </c>
      <c r="C17" s="128"/>
      <c r="D17" s="128"/>
      <c r="E17" s="71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71"/>
      <c r="Q17" s="71"/>
      <c r="R17" s="639"/>
      <c r="S17" s="108"/>
    </row>
    <row r="18" spans="1:19" ht="19.149999999999999" customHeight="1" x14ac:dyDescent="0.25">
      <c r="A18" s="641"/>
      <c r="B18" s="649" t="s">
        <v>637</v>
      </c>
      <c r="C18" s="128"/>
      <c r="D18" s="128"/>
      <c r="E18" s="71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71"/>
      <c r="Q18" s="99"/>
      <c r="R18" s="640" t="b">
        <v>0</v>
      </c>
      <c r="S18" s="108"/>
    </row>
    <row r="19" spans="1:19" ht="19.149999999999999" customHeight="1" x14ac:dyDescent="0.25">
      <c r="A19" s="641"/>
      <c r="B19" s="649" t="s">
        <v>638</v>
      </c>
      <c r="C19" s="128"/>
      <c r="D19" s="128"/>
      <c r="E19" s="71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71"/>
      <c r="Q19" s="71"/>
      <c r="R19" s="639" t="b">
        <v>0</v>
      </c>
      <c r="S19" s="108"/>
    </row>
    <row r="20" spans="1:19" ht="19.149999999999999" customHeight="1" x14ac:dyDescent="0.25">
      <c r="A20" s="641"/>
      <c r="B20" s="649" t="s">
        <v>639</v>
      </c>
      <c r="C20" s="128"/>
      <c r="D20" s="128"/>
      <c r="E20" s="71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71"/>
      <c r="Q20" s="71"/>
      <c r="R20" s="639" t="b">
        <v>0</v>
      </c>
      <c r="S20" s="108"/>
    </row>
    <row r="21" spans="1:19" ht="19.149999999999999" customHeight="1" x14ac:dyDescent="0.25">
      <c r="A21" s="641"/>
      <c r="B21" s="649" t="s">
        <v>640</v>
      </c>
      <c r="C21" s="128"/>
      <c r="D21" s="128"/>
      <c r="E21" s="71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71"/>
      <c r="Q21" s="71"/>
      <c r="R21" s="639" t="b">
        <v>0</v>
      </c>
      <c r="S21" s="108"/>
    </row>
    <row r="22" spans="1:19" ht="19.149999999999999" customHeight="1" x14ac:dyDescent="0.25">
      <c r="A22" s="641"/>
      <c r="B22" s="649" t="s">
        <v>641</v>
      </c>
      <c r="C22" s="128"/>
      <c r="D22" s="128"/>
      <c r="E22" s="71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71"/>
      <c r="Q22" s="71"/>
      <c r="R22" s="639" t="b">
        <v>0</v>
      </c>
      <c r="S22" s="108"/>
    </row>
    <row r="23" spans="1:19" x14ac:dyDescent="0.25">
      <c r="A23" s="641"/>
      <c r="B23" s="649"/>
      <c r="C23" s="128"/>
      <c r="D23" s="128"/>
      <c r="E23" s="71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71"/>
      <c r="Q23" s="71"/>
      <c r="R23" s="639"/>
      <c r="S23" s="108"/>
    </row>
    <row r="24" spans="1:19" x14ac:dyDescent="0.25">
      <c r="A24" s="644" t="s">
        <v>643</v>
      </c>
      <c r="B24" s="648"/>
      <c r="C24" s="128"/>
      <c r="D24" s="128"/>
      <c r="E24" s="71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71"/>
      <c r="Q24" s="71"/>
      <c r="R24" s="639"/>
      <c r="S24" s="108"/>
    </row>
    <row r="25" spans="1:19" ht="102" x14ac:dyDescent="0.25">
      <c r="A25" s="641"/>
      <c r="B25" s="649" t="s">
        <v>644</v>
      </c>
      <c r="C25" s="128"/>
      <c r="D25" s="128"/>
      <c r="E25" s="71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71"/>
      <c r="Q25" s="71"/>
      <c r="R25" s="639" t="b">
        <v>1</v>
      </c>
      <c r="S25" s="108"/>
    </row>
    <row r="26" spans="1:19" x14ac:dyDescent="0.25">
      <c r="A26" s="641"/>
      <c r="B26" s="71"/>
      <c r="C26" s="128"/>
      <c r="D26" s="128"/>
      <c r="E26" s="71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71"/>
      <c r="Q26" s="71"/>
      <c r="R26" s="639"/>
      <c r="S26" s="108"/>
    </row>
    <row r="27" spans="1:19" x14ac:dyDescent="0.25">
      <c r="A27" s="644" t="s">
        <v>645</v>
      </c>
      <c r="B27" s="648"/>
      <c r="C27" s="128"/>
      <c r="D27" s="128"/>
      <c r="E27" s="71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71"/>
      <c r="Q27" s="71"/>
      <c r="R27" s="639"/>
      <c r="S27" s="108"/>
    </row>
    <row r="28" spans="1:19" ht="25.5" x14ac:dyDescent="0.25">
      <c r="A28" s="641"/>
      <c r="B28" s="649" t="s">
        <v>646</v>
      </c>
      <c r="C28" s="128"/>
      <c r="D28" s="128"/>
      <c r="E28" s="71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71"/>
      <c r="Q28" s="71"/>
      <c r="R28" s="639" t="b">
        <v>0</v>
      </c>
      <c r="S28" s="108"/>
    </row>
    <row r="29" spans="1:19" x14ac:dyDescent="0.25">
      <c r="A29" s="641"/>
      <c r="B29" s="71"/>
      <c r="C29" s="128"/>
      <c r="D29" s="128"/>
      <c r="E29" s="71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71"/>
      <c r="Q29" s="71"/>
      <c r="R29" s="639"/>
      <c r="S29" s="108"/>
    </row>
    <row r="30" spans="1:19" x14ac:dyDescent="0.25">
      <c r="A30" s="644" t="s">
        <v>647</v>
      </c>
      <c r="B30" s="648"/>
      <c r="C30" s="128"/>
      <c r="D30" s="128"/>
      <c r="E30" s="71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71"/>
      <c r="Q30" s="71"/>
      <c r="R30" s="639"/>
      <c r="S30" s="108"/>
    </row>
    <row r="31" spans="1:19" ht="19.5" customHeight="1" x14ac:dyDescent="0.25">
      <c r="A31" s="641"/>
      <c r="B31" s="649" t="s">
        <v>648</v>
      </c>
      <c r="C31" s="128"/>
      <c r="D31" s="128"/>
      <c r="E31" s="71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71"/>
      <c r="Q31" s="71"/>
      <c r="R31" s="639" t="b">
        <v>0</v>
      </c>
      <c r="S31" s="108"/>
    </row>
    <row r="32" spans="1:19" x14ac:dyDescent="0.25">
      <c r="A32" s="641"/>
      <c r="B32" s="71"/>
      <c r="C32" s="128"/>
      <c r="D32" s="128"/>
      <c r="E32" s="71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71"/>
      <c r="Q32" s="71"/>
      <c r="R32" s="639"/>
      <c r="S32" s="108"/>
    </row>
    <row r="33" spans="1:19" x14ac:dyDescent="0.25">
      <c r="A33" s="644" t="s">
        <v>649</v>
      </c>
      <c r="B33" s="648"/>
      <c r="C33" s="128"/>
      <c r="D33" s="128"/>
      <c r="E33" s="71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71"/>
      <c r="Q33" s="71"/>
      <c r="R33" s="639"/>
      <c r="S33" s="108"/>
    </row>
    <row r="34" spans="1:19" ht="20.100000000000001" customHeight="1" x14ac:dyDescent="0.25">
      <c r="A34" s="641"/>
      <c r="B34" s="649" t="s">
        <v>650</v>
      </c>
      <c r="C34" s="128"/>
      <c r="D34" s="128"/>
      <c r="E34" s="71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71"/>
      <c r="Q34" s="71"/>
      <c r="R34" s="639" t="b">
        <v>1</v>
      </c>
      <c r="S34" s="108"/>
    </row>
    <row r="35" spans="1:19" x14ac:dyDescent="0.25">
      <c r="A35" s="641"/>
      <c r="B35" s="71"/>
      <c r="C35" s="128"/>
      <c r="D35" s="128"/>
      <c r="E35" s="71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71"/>
      <c r="Q35" s="71"/>
      <c r="R35" s="639"/>
      <c r="S35" s="108"/>
    </row>
    <row r="36" spans="1:19" ht="15.75" x14ac:dyDescent="0.25">
      <c r="A36" s="645" t="s">
        <v>652</v>
      </c>
      <c r="B36" s="650"/>
      <c r="C36" s="128"/>
      <c r="D36" s="128"/>
      <c r="E36" s="71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71"/>
      <c r="Q36" s="71"/>
      <c r="R36" s="639"/>
      <c r="S36" s="108"/>
    </row>
    <row r="37" spans="1:19" x14ac:dyDescent="0.25">
      <c r="A37" s="641"/>
      <c r="B37" s="71"/>
      <c r="C37" s="128"/>
      <c r="D37" s="128"/>
      <c r="E37" s="71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71"/>
      <c r="Q37" s="71"/>
      <c r="R37" s="639"/>
      <c r="S37" s="108"/>
    </row>
    <row r="38" spans="1:19" x14ac:dyDescent="0.25">
      <c r="A38" s="646" t="s">
        <v>653</v>
      </c>
      <c r="B38" s="71"/>
      <c r="C38" s="128"/>
      <c r="D38" s="128"/>
      <c r="E38" s="71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71"/>
      <c r="Q38" s="71"/>
      <c r="R38" s="639"/>
      <c r="S38" s="108"/>
    </row>
    <row r="39" spans="1:19" x14ac:dyDescent="0.25">
      <c r="A39" s="644" t="s">
        <v>763</v>
      </c>
      <c r="B39" s="648"/>
      <c r="C39" s="128"/>
      <c r="D39" s="128"/>
      <c r="E39" s="71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71"/>
      <c r="Q39" s="71"/>
      <c r="R39" s="639"/>
      <c r="S39" s="108"/>
    </row>
    <row r="40" spans="1:19" ht="51" x14ac:dyDescent="0.25">
      <c r="A40" s="641"/>
      <c r="B40" s="649" t="s">
        <v>654</v>
      </c>
      <c r="C40" s="128"/>
      <c r="D40" s="128"/>
      <c r="E40" s="71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71"/>
      <c r="Q40" s="71"/>
      <c r="R40" s="639" t="b">
        <v>1</v>
      </c>
      <c r="S40" s="108"/>
    </row>
    <row r="41" spans="1:19" ht="38.25" x14ac:dyDescent="0.25">
      <c r="A41" s="641"/>
      <c r="B41" s="649" t="s">
        <v>655</v>
      </c>
      <c r="C41" s="128"/>
      <c r="D41" s="128"/>
      <c r="E41" s="71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71"/>
      <c r="Q41" s="71"/>
      <c r="R41" s="639" t="b">
        <v>1</v>
      </c>
      <c r="S41" s="108"/>
    </row>
    <row r="42" spans="1:19" ht="38.25" x14ac:dyDescent="0.25">
      <c r="A42" s="641"/>
      <c r="B42" s="649" t="s">
        <v>656</v>
      </c>
      <c r="C42" s="128"/>
      <c r="D42" s="128"/>
      <c r="E42" s="71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71"/>
      <c r="Q42" s="71"/>
      <c r="R42" s="639"/>
      <c r="S42" s="108"/>
    </row>
    <row r="43" spans="1:19" x14ac:dyDescent="0.25">
      <c r="A43" s="641"/>
      <c r="B43" s="649"/>
      <c r="C43" s="128"/>
      <c r="D43" s="128"/>
      <c r="E43" s="71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71"/>
      <c r="Q43" s="71"/>
      <c r="R43" s="639"/>
      <c r="S43" s="108"/>
    </row>
    <row r="44" spans="1:19" x14ac:dyDescent="0.25">
      <c r="A44" s="644" t="s">
        <v>658</v>
      </c>
      <c r="B44" s="648"/>
      <c r="C44" s="128"/>
      <c r="D44" s="128"/>
      <c r="E44" s="71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71"/>
      <c r="Q44" s="71"/>
      <c r="R44" s="639"/>
      <c r="S44" s="108"/>
    </row>
    <row r="45" spans="1:19" ht="22.15" customHeight="1" x14ac:dyDescent="0.25">
      <c r="A45" s="641"/>
      <c r="B45" s="649" t="s">
        <v>657</v>
      </c>
      <c r="C45" s="128"/>
      <c r="D45" s="128"/>
      <c r="E45" s="71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71"/>
      <c r="Q45" s="71"/>
      <c r="R45" s="639" t="b">
        <v>1</v>
      </c>
      <c r="S45" s="108"/>
    </row>
    <row r="46" spans="1:19" ht="38.25" x14ac:dyDescent="0.25">
      <c r="A46" s="641"/>
      <c r="B46" s="649" t="s">
        <v>659</v>
      </c>
      <c r="C46" s="128"/>
      <c r="D46" s="128"/>
      <c r="E46" s="71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71"/>
      <c r="Q46" s="71"/>
      <c r="R46" s="639" t="b">
        <v>1</v>
      </c>
      <c r="S46" s="108"/>
    </row>
    <row r="47" spans="1:19" ht="38.25" x14ac:dyDescent="0.25">
      <c r="A47" s="641"/>
      <c r="B47" s="649" t="s">
        <v>660</v>
      </c>
      <c r="C47" s="128"/>
      <c r="D47" s="128"/>
      <c r="E47" s="71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71"/>
      <c r="Q47" s="71"/>
      <c r="R47" s="639" t="b">
        <v>1</v>
      </c>
      <c r="S47" s="108"/>
    </row>
    <row r="48" spans="1:19" ht="51" x14ac:dyDescent="0.25">
      <c r="A48" s="641"/>
      <c r="B48" s="649" t="s">
        <v>661</v>
      </c>
      <c r="C48" s="128"/>
      <c r="D48" s="128"/>
      <c r="E48" s="71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71"/>
      <c r="Q48" s="71"/>
      <c r="R48" s="639" t="b">
        <v>1</v>
      </c>
      <c r="S48" s="108"/>
    </row>
    <row r="49" spans="1:19" ht="38.25" x14ac:dyDescent="0.25">
      <c r="A49" s="641"/>
      <c r="B49" s="649" t="s">
        <v>662</v>
      </c>
      <c r="C49" s="128"/>
      <c r="D49" s="128"/>
      <c r="E49" s="71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71"/>
      <c r="Q49" s="71"/>
      <c r="R49" s="639" t="b">
        <v>1</v>
      </c>
      <c r="S49" s="108"/>
    </row>
    <row r="50" spans="1:19" ht="38.25" x14ac:dyDescent="0.25">
      <c r="A50" s="641"/>
      <c r="B50" s="649" t="s">
        <v>663</v>
      </c>
      <c r="C50" s="128"/>
      <c r="D50" s="128"/>
      <c r="E50" s="71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71"/>
      <c r="Q50" s="71"/>
      <c r="R50" s="639" t="b">
        <v>1</v>
      </c>
      <c r="S50" s="108"/>
    </row>
    <row r="51" spans="1:19" x14ac:dyDescent="0.25">
      <c r="A51" s="641"/>
      <c r="B51" s="649"/>
      <c r="C51" s="128"/>
      <c r="D51" s="128"/>
      <c r="E51" s="71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71"/>
      <c r="Q51" s="71"/>
      <c r="R51" s="639"/>
      <c r="S51" s="108"/>
    </row>
    <row r="52" spans="1:19" x14ac:dyDescent="0.25">
      <c r="A52" s="644" t="s">
        <v>631</v>
      </c>
      <c r="B52" s="648"/>
      <c r="C52" s="128"/>
      <c r="D52" s="128"/>
      <c r="E52" s="71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71"/>
      <c r="Q52" s="71"/>
      <c r="R52" s="639"/>
      <c r="S52" s="108"/>
    </row>
    <row r="53" spans="1:19" ht="38.25" x14ac:dyDescent="0.25">
      <c r="A53" s="641"/>
      <c r="B53" s="651" t="s">
        <v>664</v>
      </c>
      <c r="C53" s="128"/>
      <c r="D53" s="128"/>
      <c r="E53" s="71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71"/>
      <c r="Q53" s="71"/>
      <c r="R53" s="639" t="b">
        <v>0</v>
      </c>
      <c r="S53" s="108"/>
    </row>
    <row r="54" spans="1:19" x14ac:dyDescent="0.25">
      <c r="A54" s="641"/>
      <c r="B54" s="649"/>
      <c r="C54" s="128"/>
      <c r="D54" s="128"/>
      <c r="E54" s="71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71"/>
      <c r="Q54" s="71"/>
      <c r="R54" s="639"/>
      <c r="S54" s="108"/>
    </row>
    <row r="55" spans="1:19" x14ac:dyDescent="0.25">
      <c r="A55" s="644" t="s">
        <v>632</v>
      </c>
      <c r="B55" s="648"/>
      <c r="C55" s="128"/>
      <c r="D55" s="128"/>
      <c r="E55" s="71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71"/>
      <c r="Q55" s="71"/>
      <c r="R55" s="639"/>
      <c r="S55" s="108"/>
    </row>
    <row r="56" spans="1:19" ht="21.4" customHeight="1" x14ac:dyDescent="0.25">
      <c r="A56" s="641"/>
      <c r="B56" s="649" t="s">
        <v>665</v>
      </c>
      <c r="C56" s="128"/>
      <c r="D56" s="128"/>
      <c r="E56" s="71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71"/>
      <c r="Q56" s="71"/>
      <c r="R56" s="639" t="b">
        <v>0</v>
      </c>
      <c r="S56" s="108"/>
    </row>
    <row r="57" spans="1:19" x14ac:dyDescent="0.25">
      <c r="A57" s="641"/>
      <c r="B57" s="649"/>
      <c r="C57" s="128"/>
      <c r="D57" s="128"/>
      <c r="E57" s="71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71"/>
      <c r="Q57" s="71"/>
      <c r="R57" s="639"/>
      <c r="S57" s="108"/>
    </row>
    <row r="58" spans="1:19" x14ac:dyDescent="0.25">
      <c r="A58" s="644" t="s">
        <v>636</v>
      </c>
      <c r="B58" s="648"/>
      <c r="C58" s="128"/>
      <c r="D58" s="128"/>
      <c r="E58" s="71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71"/>
      <c r="Q58" s="71"/>
      <c r="R58" s="639"/>
      <c r="S58" s="108"/>
    </row>
    <row r="59" spans="1:19" ht="25.5" x14ac:dyDescent="0.25">
      <c r="A59" s="641"/>
      <c r="B59" s="649" t="s">
        <v>666</v>
      </c>
      <c r="C59" s="128"/>
      <c r="D59" s="128"/>
      <c r="E59" s="71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71"/>
      <c r="Q59" s="71"/>
      <c r="R59" s="639" t="b">
        <v>1</v>
      </c>
      <c r="S59" s="108"/>
    </row>
    <row r="60" spans="1:19" x14ac:dyDescent="0.25">
      <c r="A60" s="641"/>
      <c r="B60" s="108"/>
      <c r="C60" s="128"/>
      <c r="D60" s="128"/>
      <c r="E60" s="71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71"/>
      <c r="Q60" s="71"/>
      <c r="R60" s="639"/>
      <c r="S60" s="108"/>
    </row>
    <row r="61" spans="1:19" x14ac:dyDescent="0.25">
      <c r="A61" s="641"/>
      <c r="B61" s="108"/>
      <c r="C61" s="128"/>
      <c r="D61" s="128"/>
      <c r="E61" s="71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71"/>
      <c r="Q61" s="71"/>
      <c r="R61" s="639"/>
      <c r="S61" s="108"/>
    </row>
    <row r="62" spans="1:19" x14ac:dyDescent="0.25">
      <c r="A62" s="641"/>
      <c r="B62" s="108"/>
      <c r="C62" s="128"/>
      <c r="D62" s="128"/>
      <c r="E62" s="71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71"/>
      <c r="Q62" s="71"/>
      <c r="R62" s="639"/>
      <c r="S62" s="108"/>
    </row>
    <row r="63" spans="1:19" x14ac:dyDescent="0.25">
      <c r="A63" s="642" t="s">
        <v>761</v>
      </c>
      <c r="B63" s="637"/>
      <c r="C63" s="654"/>
      <c r="D63" s="654"/>
      <c r="E63" s="602"/>
      <c r="F63" s="637"/>
      <c r="G63" s="637"/>
      <c r="H63" s="637"/>
      <c r="I63" s="637"/>
      <c r="J63" s="637"/>
      <c r="K63" s="637"/>
      <c r="L63" s="637"/>
      <c r="M63" s="637"/>
      <c r="N63" s="637"/>
      <c r="O63" s="637"/>
      <c r="P63" s="71"/>
      <c r="Q63" s="71"/>
      <c r="R63" s="639"/>
      <c r="S63" s="108"/>
    </row>
    <row r="64" spans="1:19" x14ac:dyDescent="0.25">
      <c r="A64" s="641"/>
      <c r="B64" s="108"/>
      <c r="C64" s="128"/>
      <c r="D64" s="128"/>
      <c r="E64" s="71"/>
      <c r="F64" s="638">
        <f ca="1">SUM(F66:F78)</f>
        <v>0</v>
      </c>
      <c r="G64" s="638">
        <f t="shared" ref="G64:O64" ca="1" si="2">SUM(G66:G78)</f>
        <v>0</v>
      </c>
      <c r="H64" s="638">
        <f t="shared" ca="1" si="2"/>
        <v>0</v>
      </c>
      <c r="I64" s="638">
        <f t="shared" ca="1" si="2"/>
        <v>0</v>
      </c>
      <c r="J64" s="638">
        <f t="shared" ca="1" si="2"/>
        <v>0</v>
      </c>
      <c r="K64" s="638">
        <f t="shared" ca="1" si="2"/>
        <v>0</v>
      </c>
      <c r="L64" s="638">
        <f t="shared" ca="1" si="2"/>
        <v>0</v>
      </c>
      <c r="M64" s="638">
        <f t="shared" ca="1" si="2"/>
        <v>0</v>
      </c>
      <c r="N64" s="638">
        <f t="shared" ca="1" si="2"/>
        <v>0</v>
      </c>
      <c r="O64" s="638">
        <f t="shared" ca="1" si="2"/>
        <v>0</v>
      </c>
      <c r="P64" s="71"/>
      <c r="Q64" s="71"/>
      <c r="R64" s="639"/>
      <c r="S64" s="108"/>
    </row>
    <row r="65" spans="1:19" x14ac:dyDescent="0.25">
      <c r="A65" s="641"/>
      <c r="B65" s="108"/>
      <c r="C65" s="128"/>
      <c r="D65" s="128"/>
      <c r="E65" s="71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71"/>
      <c r="Q65" s="71"/>
      <c r="R65" s="639"/>
      <c r="S65" s="108"/>
    </row>
    <row r="66" spans="1:19" x14ac:dyDescent="0.25">
      <c r="A66" s="226" t="str" cm="1">
        <f t="array" aca="1" ref="A66" ca="1">HYPERLINK(CELL("адрес",Баланс!A42),"источник")</f>
        <v>источник</v>
      </c>
      <c r="B66" s="211" t="s">
        <v>24</v>
      </c>
      <c r="C66" s="149"/>
      <c r="D66" s="149"/>
      <c r="E66" s="71"/>
      <c r="F66" s="126">
        <f ca="1">ROUND(Баланс!F21,2)-ROUND(Баланс!F40,2)</f>
        <v>0</v>
      </c>
      <c r="G66" s="126">
        <f ca="1">ROUND(Баланс!G21,2)-ROUND(Баланс!G40,2)</f>
        <v>0</v>
      </c>
      <c r="H66" s="126">
        <f ca="1">ROUND(Баланс!H21,2)-ROUND(Баланс!H40,2)</f>
        <v>0</v>
      </c>
      <c r="I66" s="126">
        <f ca="1">ROUND(Баланс!I21,2)-ROUND(Баланс!I40,2)</f>
        <v>0</v>
      </c>
      <c r="J66" s="126">
        <f ca="1">ROUND(Баланс!J21,2)-ROUND(Баланс!J40,2)</f>
        <v>0</v>
      </c>
      <c r="K66" s="126">
        <f ca="1">ROUND(Баланс!K21,2)-ROUND(Баланс!K40,2)</f>
        <v>0</v>
      </c>
      <c r="L66" s="126">
        <f ca="1">ROUND(Баланс!L21,2)-ROUND(Баланс!L40,2)</f>
        <v>0</v>
      </c>
      <c r="M66" s="126">
        <f ca="1">ROUND(Баланс!M21,2)-ROUND(Баланс!M40,2)</f>
        <v>0</v>
      </c>
      <c r="N66" s="126">
        <f ca="1">ROUND(Баланс!N21,2)-ROUND(Баланс!N40,2)</f>
        <v>0</v>
      </c>
      <c r="O66" s="126">
        <f ca="1">ROUND(Баланс!O21,2)-ROUND(Баланс!O40,2)</f>
        <v>0</v>
      </c>
      <c r="P66" s="71"/>
      <c r="Q66" s="71"/>
      <c r="R66" s="639"/>
      <c r="S66" s="71"/>
    </row>
    <row r="67" spans="1:19" x14ac:dyDescent="0.25">
      <c r="A67" s="226" t="str" cm="1">
        <f t="array" aca="1" ref="A67" ca="1">HYPERLINK(CELL("адрес",БДДС!A58),"источник")</f>
        <v>источник</v>
      </c>
      <c r="B67" s="211" t="s">
        <v>479</v>
      </c>
      <c r="C67" s="149"/>
      <c r="D67" s="149"/>
      <c r="E67" s="71"/>
      <c r="F67" s="126">
        <f ca="1">IF(ROUND(БДДС!F58,3)&gt;=0,0,1)</f>
        <v>0</v>
      </c>
      <c r="G67" s="126">
        <f ca="1">IF(ROUND(БДДС!G58,3)&gt;=0,0,1)</f>
        <v>0</v>
      </c>
      <c r="H67" s="126">
        <f ca="1">IF(ROUND(БДДС!H58,3)&gt;=0,0,1)</f>
        <v>0</v>
      </c>
      <c r="I67" s="126">
        <f ca="1">IF(ROUND(БДДС!I58,3)&gt;=0,0,1)</f>
        <v>0</v>
      </c>
      <c r="J67" s="126">
        <f ca="1">IF(ROUND(БДДС!J58,3)&gt;=0,0,1)</f>
        <v>0</v>
      </c>
      <c r="K67" s="126">
        <f ca="1">IF(ROUND(БДДС!K58,3)&gt;=0,0,1)</f>
        <v>0</v>
      </c>
      <c r="L67" s="126">
        <f ca="1">IF(ROUND(БДДС!L58,3)&gt;=0,0,1)</f>
        <v>0</v>
      </c>
      <c r="M67" s="126">
        <f ca="1">IF(ROUND(БДДС!M58,3)&gt;=0,0,1)</f>
        <v>0</v>
      </c>
      <c r="N67" s="126">
        <f ca="1">IF(ROUND(БДДС!N58,3)&gt;=0,0,1)</f>
        <v>0</v>
      </c>
      <c r="O67" s="126">
        <f ca="1">IF(ROUND(БДДС!O58,3)&gt;=0,0,1)</f>
        <v>0</v>
      </c>
      <c r="P67" s="71"/>
      <c r="Q67" s="71"/>
      <c r="R67" s="639"/>
      <c r="S67" s="71"/>
    </row>
    <row r="68" spans="1:19" x14ac:dyDescent="0.25">
      <c r="A68" s="226" t="str" cm="1">
        <f t="array" aca="1" ref="A68" ca="1">HYPERLINK(CELL("адрес",БДДС!A59),"источник")</f>
        <v>источник</v>
      </c>
      <c r="B68" s="211" t="s">
        <v>594</v>
      </c>
      <c r="C68" s="149"/>
      <c r="D68" s="149"/>
      <c r="E68" s="71"/>
      <c r="F68" s="126">
        <f ca="1">БДДС!F58-Баланс!F19</f>
        <v>0</v>
      </c>
      <c r="G68" s="126">
        <f ca="1">БДДС!G58-Баланс!G19</f>
        <v>0</v>
      </c>
      <c r="H68" s="126">
        <f ca="1">БДДС!H58-Баланс!H19</f>
        <v>0</v>
      </c>
      <c r="I68" s="126">
        <f ca="1">БДДС!I58-Баланс!I19</f>
        <v>0</v>
      </c>
      <c r="J68" s="126">
        <f ca="1">БДДС!J58-Баланс!J19</f>
        <v>0</v>
      </c>
      <c r="K68" s="126">
        <f ca="1">БДДС!K58-Баланс!K19</f>
        <v>0</v>
      </c>
      <c r="L68" s="126">
        <f ca="1">БДДС!L58-Баланс!L19</f>
        <v>0</v>
      </c>
      <c r="M68" s="126">
        <f ca="1">БДДС!M58-Баланс!M19</f>
        <v>0</v>
      </c>
      <c r="N68" s="126">
        <f ca="1">БДДС!N58-Баланс!N19</f>
        <v>0</v>
      </c>
      <c r="O68" s="126">
        <f ca="1">БДДС!O58-Баланс!O19</f>
        <v>0</v>
      </c>
      <c r="P68" s="71"/>
      <c r="Q68" s="71"/>
      <c r="R68" s="639"/>
      <c r="S68" s="71"/>
    </row>
    <row r="69" spans="1:19" ht="45" x14ac:dyDescent="0.25">
      <c r="A69" s="226" t="str" cm="1">
        <f t="array" aca="1" ref="A69" ca="1">HYPERLINK(CELL("адрес",Баланс!A25),"источник")</f>
        <v>источник</v>
      </c>
      <c r="B69" s="211" t="s">
        <v>465</v>
      </c>
      <c r="C69" s="149"/>
      <c r="D69" s="149"/>
      <c r="E69" s="71"/>
      <c r="F69" s="126">
        <f ca="1">Баланс!F25-БДР!F35</f>
        <v>0</v>
      </c>
      <c r="G69" s="126">
        <f ca="1">Баланс!G25-БДР!G35</f>
        <v>0</v>
      </c>
      <c r="H69" s="126">
        <f ca="1">Баланс!H25-БДР!H35</f>
        <v>0</v>
      </c>
      <c r="I69" s="126">
        <f ca="1">Баланс!I25-БДР!I35</f>
        <v>0</v>
      </c>
      <c r="J69" s="126">
        <f ca="1">Баланс!J25-БДР!J35</f>
        <v>0</v>
      </c>
      <c r="K69" s="126">
        <f ca="1">Баланс!K25-БДР!K35</f>
        <v>0</v>
      </c>
      <c r="L69" s="126">
        <f ca="1">Баланс!L25-БДР!L35</f>
        <v>0</v>
      </c>
      <c r="M69" s="126">
        <f ca="1">Баланс!M25-БДР!M35</f>
        <v>0</v>
      </c>
      <c r="N69" s="126">
        <f ca="1">Баланс!N25-БДР!N35</f>
        <v>0</v>
      </c>
      <c r="O69" s="126">
        <f ca="1">Баланс!O25-БДР!O35</f>
        <v>0</v>
      </c>
      <c r="P69" s="71"/>
      <c r="Q69" s="71"/>
      <c r="R69" s="639"/>
      <c r="S69" s="71"/>
    </row>
    <row r="70" spans="1:19" ht="75" x14ac:dyDescent="0.25">
      <c r="A70" s="242"/>
      <c r="B70" s="211" t="s">
        <v>25</v>
      </c>
      <c r="C70" s="149"/>
      <c r="D70" s="149"/>
      <c r="E70" s="71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71"/>
      <c r="Q70" s="71"/>
      <c r="R70" s="639"/>
      <c r="S70" s="71"/>
    </row>
    <row r="71" spans="1:19" ht="30" x14ac:dyDescent="0.25">
      <c r="A71" s="226" t="str" cm="1">
        <f t="array" aca="1" ref="A71" ca="1">HYPERLINK(CELL("адрес",БДР!A9),"источник")</f>
        <v>источник</v>
      </c>
      <c r="B71" s="211" t="s">
        <v>159</v>
      </c>
      <c r="C71" s="149"/>
      <c r="D71" s="149"/>
      <c r="E71" s="71"/>
      <c r="F71" s="126">
        <f>(БДР!F9+БДР!F15)-(БДДС!F14+БДДС!F15+БДДС!F16)</f>
        <v>0</v>
      </c>
      <c r="G71" s="126">
        <f>(БДР!G9+БДР!G15)-(БДДС!G14+БДДС!G15+БДДС!G16)</f>
        <v>0</v>
      </c>
      <c r="H71" s="126">
        <f>(БДР!H9+БДР!H15)-(БДДС!H14+БДДС!H15+БДДС!H16)</f>
        <v>0</v>
      </c>
      <c r="I71" s="126">
        <f>(БДР!I9+БДР!I15)-(БДДС!I14+БДДС!I15+БДДС!I16)</f>
        <v>0</v>
      </c>
      <c r="J71" s="126">
        <f>(БДР!J9+БДР!J15)-(БДДС!J14+БДДС!J15+БДДС!J16)</f>
        <v>0</v>
      </c>
      <c r="K71" s="126">
        <f>(БДР!K9+БДР!K15)-(БДДС!K14+БДДС!K15+БДДС!K16)</f>
        <v>0</v>
      </c>
      <c r="L71" s="126">
        <f>(БДР!L9+БДР!L15)-(БДДС!L14+БДДС!L15+БДДС!L16)</f>
        <v>0</v>
      </c>
      <c r="M71" s="126">
        <f>(БДР!M9+БДР!M15)-(БДДС!M14+БДДС!M15+БДДС!M16)</f>
        <v>0</v>
      </c>
      <c r="N71" s="126">
        <f>(БДР!N9+БДР!N15)-(БДДС!N14+БДДС!N15+БДДС!N16)</f>
        <v>0</v>
      </c>
      <c r="O71" s="126">
        <f>(БДР!O9+БДР!O15)-(БДДС!O14+БДДС!O15+БДДС!O16)</f>
        <v>0</v>
      </c>
      <c r="P71" s="71"/>
      <c r="Q71" s="71"/>
      <c r="R71" s="639"/>
      <c r="S71" s="71"/>
    </row>
    <row r="72" spans="1:19" x14ac:dyDescent="0.25">
      <c r="A72" s="242"/>
      <c r="B72" s="211"/>
      <c r="C72" s="149"/>
      <c r="D72" s="149"/>
      <c r="E72" s="71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71"/>
      <c r="Q72" s="71"/>
      <c r="R72" s="639"/>
      <c r="S72" s="71"/>
    </row>
    <row r="73" spans="1:19" ht="30" x14ac:dyDescent="0.25">
      <c r="A73" s="226" t="str" cm="1">
        <f t="array" aca="1" ref="A73" ca="1">HYPERLINK(CELL("адрес",БалансбезЛьгот!A42),"источник")</f>
        <v>источник</v>
      </c>
      <c r="B73" s="211" t="s">
        <v>592</v>
      </c>
      <c r="C73" s="149"/>
      <c r="D73" s="149"/>
      <c r="E73" s="71"/>
      <c r="F73" s="126">
        <f ca="1">ROUND(БалансбезЛьгот!F21,2)-ROUND(БалансбезЛьгот!F40,2)</f>
        <v>0</v>
      </c>
      <c r="G73" s="126">
        <f ca="1">ROUND(БалансбезЛьгот!G21,2)-ROUND(БалансбезЛьгот!G40,2)</f>
        <v>0</v>
      </c>
      <c r="H73" s="126">
        <f ca="1">ROUND(БалансбезЛьгот!H21,2)-ROUND(БалансбезЛьгот!H40,2)</f>
        <v>0</v>
      </c>
      <c r="I73" s="126">
        <f ca="1">ROUND(БалансбезЛьгот!I21,2)-ROUND(БалансбезЛьгот!I40,2)</f>
        <v>0</v>
      </c>
      <c r="J73" s="126">
        <f ca="1">ROUND(БалансбезЛьгот!J21,2)-ROUND(БалансбезЛьгот!J40,2)</f>
        <v>0</v>
      </c>
      <c r="K73" s="126">
        <f ca="1">ROUND(БалансбезЛьгот!K21,2)-ROUND(БалансбезЛьгот!K40,2)</f>
        <v>0</v>
      </c>
      <c r="L73" s="126">
        <f ca="1">ROUND(БалансбезЛьгот!L21,2)-ROUND(БалансбезЛьгот!L40,2)</f>
        <v>0</v>
      </c>
      <c r="M73" s="126">
        <f ca="1">ROUND(БалансбезЛьгот!M21,2)-ROUND(БалансбезЛьгот!M40,2)</f>
        <v>0</v>
      </c>
      <c r="N73" s="126">
        <f ca="1">ROUND(БалансбезЛьгот!N21,2)-ROUND(БалансбезЛьгот!N40,2)</f>
        <v>0</v>
      </c>
      <c r="O73" s="126">
        <f ca="1">ROUND(БалансбезЛьгот!O21,2)-ROUND(БалансбезЛьгот!O40,2)</f>
        <v>0</v>
      </c>
      <c r="P73" s="71"/>
      <c r="Q73" s="71"/>
      <c r="R73" s="639"/>
      <c r="S73" s="71"/>
    </row>
    <row r="74" spans="1:19" ht="30" x14ac:dyDescent="0.25">
      <c r="A74" s="226" t="str" cm="1">
        <f t="array" aca="1" ref="A74" ca="1">HYPERLINK(CELL("адрес",БДДСбезЛьгот!A58),"источник")</f>
        <v>источник</v>
      </c>
      <c r="B74" s="211" t="s">
        <v>593</v>
      </c>
      <c r="C74" s="149"/>
      <c r="D74" s="149"/>
      <c r="E74" s="71"/>
      <c r="F74" s="126">
        <f>IF(ROUND(БДДСбезЛьгот!F69,3)&gt;=0,0,1)</f>
        <v>0</v>
      </c>
      <c r="G74" s="126">
        <f>IF(ROUND(БДДСбезЛьгот!G69,3)&gt;=0,0,1)</f>
        <v>0</v>
      </c>
      <c r="H74" s="126">
        <f>IF(ROUND(БДДСбезЛьгот!H69,3)&gt;=0,0,1)</f>
        <v>0</v>
      </c>
      <c r="I74" s="126">
        <f>IF(ROUND(БДДСбезЛьгот!I69,3)&gt;=0,0,1)</f>
        <v>0</v>
      </c>
      <c r="J74" s="126">
        <f>IF(ROUND(БДДСбезЛьгот!J69,3)&gt;=0,0,1)</f>
        <v>0</v>
      </c>
      <c r="K74" s="126">
        <f>IF(ROUND(БДДСбезЛьгот!K69,3)&gt;=0,0,1)</f>
        <v>0</v>
      </c>
      <c r="L74" s="126">
        <f>IF(ROUND(БДДСбезЛьгот!L69,3)&gt;=0,0,1)</f>
        <v>0</v>
      </c>
      <c r="M74" s="126">
        <f>IF(ROUND(БДДСбезЛьгот!M69,3)&gt;=0,0,1)</f>
        <v>0</v>
      </c>
      <c r="N74" s="126">
        <f>IF(ROUND(БДДСбезЛьгот!N69,3)&gt;=0,0,1)</f>
        <v>0</v>
      </c>
      <c r="O74" s="126">
        <f>IF(ROUND(БДДСбезЛьгот!O69,3)&gt;=0,0,1)</f>
        <v>0</v>
      </c>
      <c r="P74" s="71"/>
      <c r="Q74" s="71"/>
      <c r="R74" s="639"/>
      <c r="S74" s="71"/>
    </row>
    <row r="75" spans="1:19" ht="30" x14ac:dyDescent="0.25">
      <c r="A75" s="226" t="str" cm="1">
        <f t="array" aca="1" ref="A75" ca="1">HYPERLINK(CELL("адрес",БДДСбезЛьгот!A70),"источник")</f>
        <v>источник</v>
      </c>
      <c r="B75" s="211" t="s">
        <v>595</v>
      </c>
      <c r="C75" s="149"/>
      <c r="D75" s="149"/>
      <c r="E75" s="71"/>
      <c r="F75" s="126">
        <f ca="1">БДДСбезЛьгот!F58-БалансбезЛьгот!F19</f>
        <v>0</v>
      </c>
      <c r="G75" s="126">
        <f ca="1">БДДСбезЛьгот!G58-БалансбезЛьгот!G19</f>
        <v>0</v>
      </c>
      <c r="H75" s="126">
        <f ca="1">БДДСбезЛьгот!H58-БалансбезЛьгот!H19</f>
        <v>0</v>
      </c>
      <c r="I75" s="126">
        <f ca="1">БДДСбезЛьгот!I58-БалансбезЛьгот!I19</f>
        <v>0</v>
      </c>
      <c r="J75" s="126">
        <f ca="1">БДДСбезЛьгот!J58-БалансбезЛьгот!J19</f>
        <v>0</v>
      </c>
      <c r="K75" s="126">
        <f ca="1">БДДСбезЛьгот!K58-БалансбезЛьгот!K19</f>
        <v>0</v>
      </c>
      <c r="L75" s="126">
        <f ca="1">БДДСбезЛьгот!L58-БалансбезЛьгот!L19</f>
        <v>0</v>
      </c>
      <c r="M75" s="126">
        <f ca="1">БДДСбезЛьгот!M58-БалансбезЛьгот!M19</f>
        <v>0</v>
      </c>
      <c r="N75" s="126">
        <f ca="1">БДДСбезЛьгот!N58-БалансбезЛьгот!N19</f>
        <v>0</v>
      </c>
      <c r="O75" s="126">
        <f ca="1">БДДСбезЛьгот!O58-БалансбезЛьгот!O19</f>
        <v>0</v>
      </c>
      <c r="P75" s="71"/>
      <c r="Q75" s="71"/>
      <c r="R75" s="639"/>
      <c r="S75" s="71"/>
    </row>
    <row r="76" spans="1:19" ht="45" x14ac:dyDescent="0.25">
      <c r="A76" s="226" t="str" cm="1">
        <f t="array" aca="1" ref="A76" ca="1">HYPERLINK(CELL("адрес",БалансбезЛьгот!A25),"источник")</f>
        <v>источник</v>
      </c>
      <c r="B76" s="211" t="s">
        <v>596</v>
      </c>
      <c r="C76" s="149"/>
      <c r="D76" s="149"/>
      <c r="E76" s="71"/>
      <c r="F76" s="126">
        <f ca="1">БалансбезЛьгот!F25-БДРбезЛьгот!F35</f>
        <v>0</v>
      </c>
      <c r="G76" s="126">
        <f ca="1">БалансбезЛьгот!G25-БДРбезЛьгот!G35</f>
        <v>0</v>
      </c>
      <c r="H76" s="126">
        <f ca="1">БалансбезЛьгот!H25-БДРбезЛьгот!H35</f>
        <v>0</v>
      </c>
      <c r="I76" s="126">
        <f ca="1">БалансбезЛьгот!I25-БДРбезЛьгот!I35</f>
        <v>0</v>
      </c>
      <c r="J76" s="126">
        <f ca="1">БалансбезЛьгот!J25-БДРбезЛьгот!J35</f>
        <v>0</v>
      </c>
      <c r="K76" s="126">
        <f ca="1">БалансбезЛьгот!K25-БДРбезЛьгот!K35</f>
        <v>0</v>
      </c>
      <c r="L76" s="126">
        <f ca="1">БалансбезЛьгот!L25-БДРбезЛьгот!L35</f>
        <v>0</v>
      </c>
      <c r="M76" s="126">
        <f ca="1">БалансбезЛьгот!M25-БДРбезЛьгот!M35</f>
        <v>0</v>
      </c>
      <c r="N76" s="126">
        <f ca="1">БалансбезЛьгот!N25-БДРбезЛьгот!N35</f>
        <v>0</v>
      </c>
      <c r="O76" s="126">
        <f ca="1">БалансбезЛьгот!O25-БДРбезЛьгот!O35</f>
        <v>0</v>
      </c>
      <c r="P76" s="71"/>
      <c r="Q76" s="71"/>
      <c r="R76" s="639"/>
      <c r="S76" s="71"/>
    </row>
    <row r="77" spans="1:19" x14ac:dyDescent="0.25">
      <c r="A77" s="242"/>
      <c r="B77" s="211"/>
      <c r="C77" s="149"/>
      <c r="D77" s="149"/>
      <c r="E77" s="71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71"/>
      <c r="Q77" s="71"/>
      <c r="R77" s="639"/>
      <c r="S77" s="71"/>
    </row>
    <row r="78" spans="1:19" x14ac:dyDescent="0.25">
      <c r="A78" s="242"/>
      <c r="B78" s="211"/>
      <c r="C78" s="149"/>
      <c r="D78" s="149"/>
      <c r="E78" s="71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71"/>
      <c r="Q78" s="71"/>
      <c r="R78" s="639"/>
      <c r="S78" s="71"/>
    </row>
    <row r="79" spans="1:19" x14ac:dyDescent="0.25">
      <c r="A79" s="242"/>
      <c r="B79" s="211"/>
      <c r="C79" s="149"/>
      <c r="D79" s="149"/>
      <c r="E79" s="71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71"/>
      <c r="Q79" s="71"/>
      <c r="R79" s="639"/>
      <c r="S79" s="71"/>
    </row>
    <row r="80" spans="1:19" x14ac:dyDescent="0.25">
      <c r="A80" s="642" t="s">
        <v>810</v>
      </c>
      <c r="B80" s="637"/>
      <c r="C80" s="654"/>
      <c r="D80" s="654"/>
      <c r="E80" s="602"/>
      <c r="F80" s="637"/>
      <c r="G80" s="637"/>
      <c r="H80" s="637"/>
      <c r="I80" s="637"/>
      <c r="J80" s="637"/>
      <c r="K80" s="637"/>
      <c r="L80" s="637"/>
      <c r="M80" s="637"/>
      <c r="N80" s="637"/>
      <c r="O80" s="637"/>
      <c r="P80" s="71"/>
      <c r="Q80" s="71"/>
      <c r="R80" s="639"/>
      <c r="S80" s="71"/>
    </row>
    <row r="81" spans="1:15" x14ac:dyDescent="0.25">
      <c r="A81" s="647"/>
      <c r="B81" s="211"/>
      <c r="C81" s="149"/>
      <c r="D81" s="149"/>
      <c r="E81" s="71"/>
      <c r="F81" s="126"/>
      <c r="G81" s="126"/>
      <c r="H81" s="126"/>
      <c r="I81" s="126"/>
      <c r="J81" s="126"/>
      <c r="K81" s="126"/>
      <c r="L81" s="126"/>
      <c r="M81" s="126"/>
      <c r="N81" s="126"/>
      <c r="O81" s="126"/>
    </row>
    <row r="82" spans="1:15" x14ac:dyDescent="0.25">
      <c r="A82" s="324" t="str" cm="1">
        <f t="array" aca="1" ref="A82" ca="1">HYPERLINK(CELL("адрес",Выручка!B8),"источник")</f>
        <v>источник</v>
      </c>
      <c r="B82" s="652" t="s">
        <v>813</v>
      </c>
      <c r="C82" s="655"/>
      <c r="D82" s="231">
        <f>SUM(F82:O82)</f>
        <v>929773.54922430473</v>
      </c>
      <c r="E82" s="71"/>
      <c r="F82" s="231">
        <f>Выручка!F8</f>
        <v>0</v>
      </c>
      <c r="G82" s="231">
        <f>Выручка!G8</f>
        <v>0</v>
      </c>
      <c r="H82" s="231">
        <f>Выручка!H8</f>
        <v>38530</v>
      </c>
      <c r="I82" s="231">
        <f>Выручка!I8</f>
        <v>112840</v>
      </c>
      <c r="J82" s="231">
        <f>Выручка!J8</f>
        <v>117353.60000000002</v>
      </c>
      <c r="K82" s="231">
        <f>Выручка!K8</f>
        <v>122047.74400000002</v>
      </c>
      <c r="L82" s="231">
        <f>Выручка!L8</f>
        <v>126929.65376</v>
      </c>
      <c r="M82" s="231">
        <f>Выручка!M8</f>
        <v>132006.83991040001</v>
      </c>
      <c r="N82" s="231">
        <f>Выручка!N8</f>
        <v>137287.11350681601</v>
      </c>
      <c r="O82" s="231">
        <f>Выручка!O8</f>
        <v>142778.59804708866</v>
      </c>
    </row>
    <row r="83" spans="1:15" x14ac:dyDescent="0.25">
      <c r="A83" s="324" t="str" cm="1">
        <f t="array" aca="1" ref="A83" ca="1">HYPERLINK(CELL("адрес",БДР!B5),"источник")</f>
        <v>источник</v>
      </c>
      <c r="B83" s="652" t="s">
        <v>811</v>
      </c>
      <c r="C83" s="655"/>
      <c r="D83" s="231">
        <f>SUM(F83:O83)</f>
        <v>929773.54922430473</v>
      </c>
      <c r="E83" s="71"/>
      <c r="F83" s="231">
        <f>БДР!F5</f>
        <v>0</v>
      </c>
      <c r="G83" s="231">
        <f>БДР!G5</f>
        <v>0</v>
      </c>
      <c r="H83" s="231">
        <f>БДР!H5</f>
        <v>38530</v>
      </c>
      <c r="I83" s="231">
        <f>БДР!I5</f>
        <v>112840</v>
      </c>
      <c r="J83" s="231">
        <f>БДР!J5</f>
        <v>117353.60000000002</v>
      </c>
      <c r="K83" s="231">
        <f>БДР!K5</f>
        <v>122047.74400000002</v>
      </c>
      <c r="L83" s="231">
        <f>БДР!L5</f>
        <v>126929.65376</v>
      </c>
      <c r="M83" s="231">
        <f>БДР!M5</f>
        <v>132006.83991040001</v>
      </c>
      <c r="N83" s="231">
        <f>БДР!N5</f>
        <v>137287.11350681601</v>
      </c>
      <c r="O83" s="231">
        <f>БДР!O5</f>
        <v>142778.59804708866</v>
      </c>
    </row>
    <row r="84" spans="1:15" x14ac:dyDescent="0.25">
      <c r="A84" s="324"/>
      <c r="B84" s="652"/>
      <c r="C84" s="655"/>
      <c r="D84" s="231"/>
      <c r="E84" s="71"/>
      <c r="F84" s="231"/>
      <c r="G84" s="231"/>
      <c r="H84" s="231"/>
      <c r="I84" s="231"/>
      <c r="J84" s="231"/>
      <c r="K84" s="231"/>
      <c r="L84" s="231"/>
      <c r="M84" s="231"/>
      <c r="N84" s="231"/>
      <c r="O84" s="231"/>
    </row>
    <row r="85" spans="1:15" x14ac:dyDescent="0.25">
      <c r="A85" s="324"/>
      <c r="B85" s="652"/>
      <c r="C85" s="655"/>
      <c r="D85" s="231"/>
      <c r="E85" s="71"/>
      <c r="F85" s="231"/>
      <c r="G85" s="231"/>
      <c r="H85" s="231"/>
      <c r="I85" s="231"/>
      <c r="J85" s="231"/>
      <c r="K85" s="231"/>
      <c r="L85" s="231"/>
      <c r="M85" s="231"/>
      <c r="N85" s="231"/>
      <c r="O85" s="231"/>
    </row>
    <row r="86" spans="1:15" ht="30" x14ac:dyDescent="0.25">
      <c r="A86" s="324" t="str" cm="1">
        <f t="array" aca="1" ref="A86" ca="1">HYPERLINK(CELL("адрес",БДР!B35),"источник")</f>
        <v>источник</v>
      </c>
      <c r="B86" s="652" t="s">
        <v>824</v>
      </c>
      <c r="C86" s="655"/>
      <c r="D86" s="231"/>
      <c r="E86" s="71"/>
      <c r="F86" s="231">
        <f ca="1">БДР!F35</f>
        <v>-8088.8024000000014</v>
      </c>
      <c r="G86" s="231">
        <f ca="1">БДР!G35</f>
        <v>-22029.354457600002</v>
      </c>
      <c r="H86" s="231">
        <f ca="1">БДР!H35</f>
        <v>-48785.012235429873</v>
      </c>
      <c r="I86" s="231">
        <f ca="1">БДР!I35</f>
        <v>-10278.641113436141</v>
      </c>
      <c r="J86" s="231">
        <f ca="1">БДР!J35</f>
        <v>33359.590117524262</v>
      </c>
      <c r="K86" s="231">
        <f ca="1">БДР!K35</f>
        <v>85759.761637879841</v>
      </c>
      <c r="L86" s="231">
        <f ca="1">БДР!L35</f>
        <v>146343.47291295612</v>
      </c>
      <c r="M86" s="231">
        <f ca="1">БДР!M35</f>
        <v>211757.38761764925</v>
      </c>
      <c r="N86" s="231">
        <f ca="1">БДР!N35</f>
        <v>278562.29231972148</v>
      </c>
      <c r="O86" s="231">
        <f ca="1">БДР!O35</f>
        <v>350246.43353450083</v>
      </c>
    </row>
    <row r="87" spans="1:15" ht="30" x14ac:dyDescent="0.25">
      <c r="A87" s="324" t="str" cm="1">
        <f t="array" aca="1" ref="A87" ca="1">HYPERLINK(CELL("адрес",Баланс!B25),"источник")</f>
        <v>источник</v>
      </c>
      <c r="B87" s="652" t="s">
        <v>823</v>
      </c>
      <c r="C87" s="655"/>
      <c r="D87" s="231"/>
      <c r="E87" s="71"/>
      <c r="F87" s="231">
        <f ca="1">Баланс!F25</f>
        <v>-8088.8024000000014</v>
      </c>
      <c r="G87" s="231">
        <f ca="1">Баланс!G25</f>
        <v>-22029.354457600002</v>
      </c>
      <c r="H87" s="231">
        <f ca="1">Баланс!H25</f>
        <v>-48785.012235429873</v>
      </c>
      <c r="I87" s="231">
        <f ca="1">Баланс!I25</f>
        <v>-10278.641113436141</v>
      </c>
      <c r="J87" s="231">
        <f ca="1">Баланс!J25</f>
        <v>33359.590117524262</v>
      </c>
      <c r="K87" s="231">
        <f ca="1">Баланс!K25</f>
        <v>85759.761637879841</v>
      </c>
      <c r="L87" s="231">
        <f ca="1">Баланс!L25</f>
        <v>146343.47291295612</v>
      </c>
      <c r="M87" s="231">
        <f ca="1">Баланс!M25</f>
        <v>211757.38761764925</v>
      </c>
      <c r="N87" s="231">
        <f ca="1">Баланс!N25</f>
        <v>278562.29231972148</v>
      </c>
      <c r="O87" s="231">
        <f ca="1">Баланс!O25</f>
        <v>350246.43353450083</v>
      </c>
    </row>
    <row r="88" spans="1:15" x14ac:dyDescent="0.25">
      <c r="A88" s="324"/>
      <c r="B88" s="652"/>
      <c r="C88" s="655"/>
      <c r="D88" s="231"/>
      <c r="E88" s="71"/>
      <c r="F88" s="231"/>
      <c r="G88" s="231"/>
      <c r="H88" s="231"/>
      <c r="I88" s="231"/>
      <c r="J88" s="231"/>
      <c r="K88" s="231"/>
      <c r="L88" s="231"/>
      <c r="M88" s="231"/>
      <c r="N88" s="231"/>
      <c r="O88" s="231"/>
    </row>
    <row r="89" spans="1:15" ht="30" x14ac:dyDescent="0.25">
      <c r="A89" s="324" t="str" cm="1">
        <f t="array" aca="1" ref="A89" ca="1">HYPERLINK(CELL("адрес",БДДС!B27),"источник")</f>
        <v>источник</v>
      </c>
      <c r="B89" s="652" t="s">
        <v>817</v>
      </c>
      <c r="C89" s="655"/>
      <c r="D89" s="231">
        <f t="shared" ref="D89:D106" ca="1" si="3">SUM(F89:O89)</f>
        <v>408745.67162973888</v>
      </c>
      <c r="E89" s="71"/>
      <c r="F89" s="231">
        <f ca="1">БДДС!F27</f>
        <v>-8088.8023999999996</v>
      </c>
      <c r="G89" s="231">
        <f ca="1">БДДС!G27</f>
        <v>-13940.552057599998</v>
      </c>
      <c r="H89" s="231">
        <f ca="1">БДДС!H27</f>
        <v>-14279.467301639401</v>
      </c>
      <c r="I89" s="231">
        <f ca="1">БДДС!I27</f>
        <v>50982.561598184227</v>
      </c>
      <c r="J89" s="231">
        <f ca="1">БДДС!J27</f>
        <v>55280.755040484219</v>
      </c>
      <c r="K89" s="231">
        <f ca="1">БДДС!K27</f>
        <v>59637.838187022237</v>
      </c>
      <c r="L89" s="231">
        <f ca="1">БДДС!L27</f>
        <v>64250.377941742932</v>
      </c>
      <c r="M89" s="231">
        <f ca="1">БДДС!M27</f>
        <v>69080.581371359804</v>
      </c>
      <c r="N89" s="231">
        <f ca="1">БДДС!N27</f>
        <v>70471.571368738878</v>
      </c>
      <c r="O89" s="231">
        <f ca="1">БДДС!O27</f>
        <v>75350.807881446002</v>
      </c>
    </row>
    <row r="90" spans="1:15" ht="30" x14ac:dyDescent="0.25">
      <c r="A90" s="324"/>
      <c r="B90" s="652" t="s">
        <v>816</v>
      </c>
      <c r="C90" s="655"/>
      <c r="D90" s="231">
        <f t="shared" ca="1" si="3"/>
        <v>408745.67162973888</v>
      </c>
      <c r="E90" s="71"/>
      <c r="F90" s="231">
        <f ca="1">КПЭ!F30</f>
        <v>-8088.8023999999996</v>
      </c>
      <c r="G90" s="231">
        <f ca="1">КПЭ!G30</f>
        <v>-13940.552057599998</v>
      </c>
      <c r="H90" s="231">
        <f ca="1">КПЭ!H30</f>
        <v>-14279.467301639401</v>
      </c>
      <c r="I90" s="231">
        <f ca="1">КПЭ!I30</f>
        <v>50982.561598184227</v>
      </c>
      <c r="J90" s="231">
        <f ca="1">КПЭ!J30</f>
        <v>55280.755040484219</v>
      </c>
      <c r="K90" s="231">
        <f ca="1">КПЭ!K30</f>
        <v>59637.838187022237</v>
      </c>
      <c r="L90" s="231">
        <f ca="1">КПЭ!L30</f>
        <v>64250.377941742932</v>
      </c>
      <c r="M90" s="231">
        <f ca="1">КПЭ!M30</f>
        <v>69080.581371359804</v>
      </c>
      <c r="N90" s="231">
        <f ca="1">КПЭ!N30</f>
        <v>70471.571368738878</v>
      </c>
      <c r="O90" s="231">
        <f ca="1">КПЭ!O30</f>
        <v>75350.807881446002</v>
      </c>
    </row>
    <row r="91" spans="1:15" x14ac:dyDescent="0.25">
      <c r="A91" s="324"/>
      <c r="B91" s="652"/>
      <c r="C91" s="655"/>
      <c r="D91" s="231"/>
      <c r="E91" s="71"/>
      <c r="F91" s="231"/>
      <c r="G91" s="231"/>
      <c r="H91" s="231"/>
      <c r="I91" s="231"/>
      <c r="J91" s="231"/>
      <c r="K91" s="231"/>
      <c r="L91" s="231"/>
      <c r="M91" s="231"/>
      <c r="N91" s="231"/>
      <c r="O91" s="231"/>
    </row>
    <row r="92" spans="1:15" x14ac:dyDescent="0.25">
      <c r="A92" s="324"/>
      <c r="B92" s="652"/>
      <c r="C92" s="655"/>
      <c r="D92" s="231"/>
      <c r="E92" s="71"/>
      <c r="F92" s="231"/>
      <c r="G92" s="231"/>
      <c r="H92" s="231"/>
      <c r="I92" s="231"/>
      <c r="J92" s="231"/>
      <c r="K92" s="231"/>
      <c r="L92" s="231"/>
      <c r="M92" s="231"/>
      <c r="N92" s="231"/>
      <c r="O92" s="231"/>
    </row>
    <row r="93" spans="1:15" ht="30" x14ac:dyDescent="0.25">
      <c r="A93" s="324" t="str" cm="1">
        <f t="array" aca="1" ref="A93" ca="1">HYPERLINK(CELL("адрес",Финансы!B24),"источник")</f>
        <v>источник</v>
      </c>
      <c r="B93" s="652" t="s">
        <v>812</v>
      </c>
      <c r="C93" s="655"/>
      <c r="D93" s="231">
        <f t="shared" ca="1" si="3"/>
        <v>427500</v>
      </c>
      <c r="E93" s="71"/>
      <c r="F93" s="231">
        <f ca="1">Финансы!F24</f>
        <v>0</v>
      </c>
      <c r="G93" s="231">
        <f ca="1">Финансы!G24</f>
        <v>95000</v>
      </c>
      <c r="H93" s="231">
        <f ca="1">Финансы!H24</f>
        <v>83125</v>
      </c>
      <c r="I93" s="231">
        <f ca="1">Финансы!I24</f>
        <v>71250</v>
      </c>
      <c r="J93" s="231">
        <f ca="1">Финансы!J24</f>
        <v>59375</v>
      </c>
      <c r="K93" s="231">
        <f ca="1">Финансы!K24</f>
        <v>47500</v>
      </c>
      <c r="L93" s="231">
        <f ca="1">Финансы!L24</f>
        <v>35625</v>
      </c>
      <c r="M93" s="231">
        <f ca="1">Финансы!M24</f>
        <v>23750</v>
      </c>
      <c r="N93" s="231">
        <f ca="1">Финансы!N24</f>
        <v>11875</v>
      </c>
      <c r="O93" s="231">
        <f ca="1">Финансы!O24</f>
        <v>0</v>
      </c>
    </row>
    <row r="94" spans="1:15" ht="30" x14ac:dyDescent="0.25">
      <c r="A94" s="324" t="str" cm="1">
        <f t="array" aca="1" ref="A94" ca="1">HYPERLINK(CELL("адрес",Баланс!B27),"источник")</f>
        <v>источник</v>
      </c>
      <c r="B94" s="652" t="s">
        <v>814</v>
      </c>
      <c r="C94" s="655"/>
      <c r="D94" s="231">
        <f t="shared" ca="1" si="3"/>
        <v>427500</v>
      </c>
      <c r="E94" s="71"/>
      <c r="F94" s="231">
        <f ca="1">Баланс!F27</f>
        <v>0</v>
      </c>
      <c r="G94" s="231">
        <f ca="1">Баланс!G27</f>
        <v>95000</v>
      </c>
      <c r="H94" s="231">
        <f ca="1">Баланс!H27</f>
        <v>83125</v>
      </c>
      <c r="I94" s="231">
        <f ca="1">Баланс!I27</f>
        <v>71250</v>
      </c>
      <c r="J94" s="231">
        <f ca="1">Баланс!J27</f>
        <v>59375</v>
      </c>
      <c r="K94" s="231">
        <f ca="1">Баланс!K27</f>
        <v>47500</v>
      </c>
      <c r="L94" s="231">
        <f ca="1">Баланс!L27</f>
        <v>35625</v>
      </c>
      <c r="M94" s="231">
        <f ca="1">Баланс!M27</f>
        <v>23750</v>
      </c>
      <c r="N94" s="231">
        <f ca="1">Баланс!N27</f>
        <v>11875</v>
      </c>
      <c r="O94" s="231">
        <f ca="1">Баланс!O27</f>
        <v>0</v>
      </c>
    </row>
    <row r="95" spans="1:15" x14ac:dyDescent="0.25">
      <c r="A95" s="324"/>
      <c r="B95" s="652"/>
      <c r="C95" s="655"/>
      <c r="D95" s="231"/>
      <c r="E95" s="71"/>
      <c r="F95" s="231"/>
      <c r="G95" s="231"/>
      <c r="H95" s="231"/>
      <c r="I95" s="231"/>
      <c r="J95" s="231"/>
      <c r="K95" s="231"/>
      <c r="L95" s="231"/>
      <c r="M95" s="231"/>
      <c r="N95" s="231"/>
      <c r="O95" s="231"/>
    </row>
    <row r="96" spans="1:15" x14ac:dyDescent="0.25">
      <c r="A96" s="324"/>
      <c r="B96" s="652"/>
      <c r="C96" s="655"/>
      <c r="D96" s="231"/>
      <c r="E96" s="71"/>
      <c r="F96" s="231"/>
      <c r="G96" s="231"/>
      <c r="H96" s="231"/>
      <c r="I96" s="231"/>
      <c r="J96" s="231"/>
      <c r="K96" s="231"/>
      <c r="L96" s="231"/>
      <c r="M96" s="231"/>
      <c r="N96" s="231"/>
      <c r="O96" s="231"/>
    </row>
    <row r="97" spans="1:15" ht="30" x14ac:dyDescent="0.25">
      <c r="A97" s="324" t="str" cm="1">
        <f t="array" aca="1" ref="A97" ca="1">HYPERLINK(CELL("адрес",Инвестиции!B18),"источник")</f>
        <v>источник</v>
      </c>
      <c r="B97" s="652" t="s">
        <v>821</v>
      </c>
      <c r="C97" s="655"/>
      <c r="D97" s="231"/>
      <c r="E97" s="71"/>
      <c r="F97" s="231">
        <f>Инвестиции!F18</f>
        <v>18333.333333333332</v>
      </c>
      <c r="G97" s="231">
        <f>Инвестиции!G18</f>
        <v>75000</v>
      </c>
      <c r="H97" s="231">
        <f>Инвестиции!H18</f>
        <v>62523.809523809519</v>
      </c>
      <c r="I97" s="231">
        <f>Инвестиции!I18</f>
        <v>50047.619047619046</v>
      </c>
      <c r="J97" s="231">
        <f>Инвестиции!J18</f>
        <v>38405.095238095244</v>
      </c>
      <c r="K97" s="231">
        <f>Инвестиции!K18</f>
        <v>31167.428571428572</v>
      </c>
      <c r="L97" s="231">
        <f>Инвестиции!L18</f>
        <v>27500.761904761908</v>
      </c>
      <c r="M97" s="231">
        <f>Инвестиции!M18</f>
        <v>23834.095238095244</v>
      </c>
      <c r="N97" s="231">
        <f>Инвестиции!N18</f>
        <v>20167.42857142858</v>
      </c>
      <c r="O97" s="231">
        <f>Инвестиции!O18</f>
        <v>16500.761904761916</v>
      </c>
    </row>
    <row r="98" spans="1:15" ht="30" x14ac:dyDescent="0.25">
      <c r="A98" s="324" t="str" cm="1">
        <f t="array" aca="1" ref="A98" ca="1">HYPERLINK(CELL("адрес",Баланс!B7),"источник")</f>
        <v>источник</v>
      </c>
      <c r="B98" s="652" t="s">
        <v>815</v>
      </c>
      <c r="C98" s="655"/>
      <c r="D98" s="231"/>
      <c r="E98" s="71"/>
      <c r="F98" s="231">
        <f>Баланс!F7</f>
        <v>18333.333333333332</v>
      </c>
      <c r="G98" s="231">
        <f>Баланс!G7</f>
        <v>75000</v>
      </c>
      <c r="H98" s="231">
        <f>Баланс!H7</f>
        <v>62523.809523809519</v>
      </c>
      <c r="I98" s="231">
        <f>Баланс!I7</f>
        <v>50047.619047619046</v>
      </c>
      <c r="J98" s="231">
        <f>Баланс!J7</f>
        <v>38405.095238095244</v>
      </c>
      <c r="K98" s="231">
        <f>Баланс!K7</f>
        <v>31167.428571428572</v>
      </c>
      <c r="L98" s="231">
        <f>Баланс!L7</f>
        <v>27500.761904761908</v>
      </c>
      <c r="M98" s="231">
        <f>Баланс!M7</f>
        <v>23834.095238095244</v>
      </c>
      <c r="N98" s="231">
        <f>Баланс!N7</f>
        <v>20167.42857142858</v>
      </c>
      <c r="O98" s="231">
        <f>Баланс!O7</f>
        <v>16500.761904761916</v>
      </c>
    </row>
    <row r="99" spans="1:15" x14ac:dyDescent="0.25">
      <c r="A99" s="324"/>
      <c r="B99" s="652"/>
      <c r="C99" s="655"/>
      <c r="D99" s="231"/>
      <c r="E99" s="71"/>
      <c r="F99" s="231"/>
      <c r="G99" s="231"/>
      <c r="H99" s="231"/>
      <c r="I99" s="231"/>
      <c r="J99" s="231"/>
      <c r="K99" s="231"/>
      <c r="L99" s="231"/>
      <c r="M99" s="231"/>
      <c r="N99" s="231"/>
      <c r="O99" s="231"/>
    </row>
    <row r="100" spans="1:15" x14ac:dyDescent="0.25">
      <c r="A100" s="324"/>
      <c r="B100" s="652"/>
      <c r="C100" s="655"/>
      <c r="D100" s="231"/>
      <c r="E100" s="7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</row>
    <row r="101" spans="1:15" ht="30" x14ac:dyDescent="0.25">
      <c r="A101" s="324" t="str" cm="1">
        <f t="array" aca="1" ref="A101" ca="1">HYPERLINK(CELL("адрес",Себестоимость!B7),"источник")</f>
        <v>источник</v>
      </c>
      <c r="B101" s="652" t="s">
        <v>818</v>
      </c>
      <c r="C101" s="655"/>
      <c r="D101" s="231">
        <f t="shared" si="3"/>
        <v>40828.286048632843</v>
      </c>
      <c r="E101" s="71"/>
      <c r="F101" s="231">
        <f>Себестоимость!F7</f>
        <v>0</v>
      </c>
      <c r="G101" s="231">
        <f>Себестоимость!G7</f>
        <v>0</v>
      </c>
      <c r="H101" s="231">
        <f>Себестоимость!H7</f>
        <v>1400</v>
      </c>
      <c r="I101" s="231">
        <f>Себестоимость!I7</f>
        <v>4992.0000000000009</v>
      </c>
      <c r="J101" s="231">
        <f>Себестоимость!J7</f>
        <v>5191.6800000000012</v>
      </c>
      <c r="K101" s="231">
        <f>Себестоимость!K7</f>
        <v>5399.347200000002</v>
      </c>
      <c r="L101" s="231">
        <f>Себестоимость!L7</f>
        <v>5615.3210880000015</v>
      </c>
      <c r="M101" s="231">
        <f>Себестоимость!M7</f>
        <v>5839.9339315200014</v>
      </c>
      <c r="N101" s="231">
        <f>Себестоимость!N7</f>
        <v>6073.5312887808013</v>
      </c>
      <c r="O101" s="231">
        <f>Себестоимость!O7</f>
        <v>6316.4725403320344</v>
      </c>
    </row>
    <row r="102" spans="1:15" ht="30" x14ac:dyDescent="0.25">
      <c r="A102" s="324" t="str" cm="1">
        <f t="array" aca="1" ref="A102" ca="1">HYPERLINK(CELL("адрес",БДР!B7),"источник")</f>
        <v>источник</v>
      </c>
      <c r="B102" s="652" t="s">
        <v>819</v>
      </c>
      <c r="C102" s="655"/>
      <c r="D102" s="231">
        <f t="shared" si="3"/>
        <v>-40828.286048632843</v>
      </c>
      <c r="E102" s="71"/>
      <c r="F102" s="231">
        <f>БДР!F7</f>
        <v>0</v>
      </c>
      <c r="G102" s="231">
        <f>БДР!G7</f>
        <v>0</v>
      </c>
      <c r="H102" s="231">
        <f>БДР!H7</f>
        <v>-1400</v>
      </c>
      <c r="I102" s="231">
        <f>БДР!I7</f>
        <v>-4992.0000000000009</v>
      </c>
      <c r="J102" s="231">
        <f>БДР!J7</f>
        <v>-5191.6800000000012</v>
      </c>
      <c r="K102" s="231">
        <f>БДР!K7</f>
        <v>-5399.347200000002</v>
      </c>
      <c r="L102" s="231">
        <f>БДР!L7</f>
        <v>-5615.3210880000015</v>
      </c>
      <c r="M102" s="231">
        <f>БДР!M7</f>
        <v>-5839.9339315200014</v>
      </c>
      <c r="N102" s="231">
        <f>БДР!N7</f>
        <v>-6073.5312887808013</v>
      </c>
      <c r="O102" s="231">
        <f>БДР!O7</f>
        <v>-6316.4725403320344</v>
      </c>
    </row>
    <row r="103" spans="1:15" x14ac:dyDescent="0.25">
      <c r="A103" s="324"/>
      <c r="B103" s="652"/>
      <c r="C103" s="655"/>
      <c r="D103" s="231"/>
      <c r="E103" s="7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</row>
    <row r="104" spans="1:15" x14ac:dyDescent="0.25">
      <c r="A104" s="324"/>
      <c r="B104" s="652"/>
      <c r="C104" s="655"/>
      <c r="D104" s="231"/>
      <c r="E104" s="7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</row>
    <row r="105" spans="1:15" ht="30" x14ac:dyDescent="0.25">
      <c r="A105" s="324" t="str" cm="1">
        <f t="array" aca="1" ref="A105" ca="1">HYPERLINK(CELL("адрес",Себестоимость!B9),"источник")</f>
        <v>источник</v>
      </c>
      <c r="B105" s="652" t="s">
        <v>851</v>
      </c>
      <c r="C105" s="655"/>
      <c r="D105" s="231">
        <f t="shared" si="3"/>
        <v>48993.94325835941</v>
      </c>
      <c r="E105" s="71"/>
      <c r="F105" s="231">
        <f>Себестоимость!F9</f>
        <v>0</v>
      </c>
      <c r="G105" s="231">
        <f>Себестоимость!G9</f>
        <v>0</v>
      </c>
      <c r="H105" s="231">
        <f>Себестоимость!H9</f>
        <v>1680</v>
      </c>
      <c r="I105" s="231">
        <f>Себестоимость!I9</f>
        <v>5990.4000000000015</v>
      </c>
      <c r="J105" s="231">
        <f>Себестоимость!J9</f>
        <v>6230.0160000000014</v>
      </c>
      <c r="K105" s="231">
        <f>Себестоимость!K9</f>
        <v>6479.2166400000024</v>
      </c>
      <c r="L105" s="231">
        <f>Себестоимость!L9</f>
        <v>6738.3853056000016</v>
      </c>
      <c r="M105" s="231">
        <f>Себестоимость!M9</f>
        <v>7007.9207178240013</v>
      </c>
      <c r="N105" s="231">
        <f>Себестоимость!N9</f>
        <v>7288.2375465369614</v>
      </c>
      <c r="O105" s="231">
        <f>Себестоимость!O9</f>
        <v>7579.7670483984411</v>
      </c>
    </row>
    <row r="106" spans="1:15" ht="30" x14ac:dyDescent="0.25">
      <c r="A106" s="324" t="str" cm="1">
        <f t="array" aca="1" ref="A106" ca="1">HYPERLINK(CELL("адрес",БДДС!B12),"источник")</f>
        <v>источник</v>
      </c>
      <c r="B106" s="652" t="s">
        <v>850</v>
      </c>
      <c r="C106" s="655"/>
      <c r="D106" s="231">
        <f t="shared" si="3"/>
        <v>-48993.94325835941</v>
      </c>
      <c r="E106" s="71"/>
      <c r="F106" s="231">
        <f>БДДС!F12</f>
        <v>0</v>
      </c>
      <c r="G106" s="231">
        <f>БДДС!G12</f>
        <v>0</v>
      </c>
      <c r="H106" s="231">
        <f>БДДС!H12</f>
        <v>-1680</v>
      </c>
      <c r="I106" s="231">
        <f>БДДС!I12</f>
        <v>-5990.4000000000015</v>
      </c>
      <c r="J106" s="231">
        <f>БДДС!J12</f>
        <v>-6230.0160000000014</v>
      </c>
      <c r="K106" s="231">
        <f>БДДС!K12</f>
        <v>-6479.2166400000024</v>
      </c>
      <c r="L106" s="231">
        <f>БДДС!L12</f>
        <v>-6738.3853056000016</v>
      </c>
      <c r="M106" s="231">
        <f>БДДС!M12</f>
        <v>-7007.9207178240013</v>
      </c>
      <c r="N106" s="231">
        <f>БДДС!N12</f>
        <v>-7288.2375465369614</v>
      </c>
      <c r="O106" s="231">
        <f>БДДС!O12</f>
        <v>-7579.7670483984411</v>
      </c>
    </row>
    <row r="107" spans="1:15" x14ac:dyDescent="0.25">
      <c r="A107" s="324"/>
      <c r="B107" s="652"/>
      <c r="C107" s="655"/>
      <c r="D107" s="231"/>
      <c r="E107" s="7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</row>
    <row r="108" spans="1:15" x14ac:dyDescent="0.25">
      <c r="A108" s="324"/>
      <c r="B108" s="652"/>
      <c r="C108" s="655"/>
      <c r="D108" s="231"/>
      <c r="E108" s="7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</row>
    <row r="109" spans="1:15" ht="30" x14ac:dyDescent="0.25">
      <c r="A109" s="324" t="str" cm="1">
        <f t="array" aca="1" ref="A109" ca="1">HYPERLINK(CELL("адрес",Ресурсы!B5),"источник")</f>
        <v>источник</v>
      </c>
      <c r="B109" s="652" t="s">
        <v>820</v>
      </c>
      <c r="C109" s="655"/>
      <c r="D109" s="231">
        <f t="shared" ref="D109:D110" si="4">SUM(F109:O109)</f>
        <v>127739.5685858925</v>
      </c>
      <c r="E109" s="71"/>
      <c r="F109" s="231">
        <f>Ресурсы!F5</f>
        <v>4685</v>
      </c>
      <c r="G109" s="231">
        <f>Ресурсы!G5</f>
        <v>4881.8</v>
      </c>
      <c r="H109" s="231">
        <f>Ресурсы!H5</f>
        <v>9457.026249999999</v>
      </c>
      <c r="I109" s="231">
        <f>Ресурсы!I5</f>
        <v>14158.022887499999</v>
      </c>
      <c r="J109" s="231">
        <f>Ресурсы!J5</f>
        <v>14623.022683687499</v>
      </c>
      <c r="K109" s="231">
        <f>Ресурсы!K5</f>
        <v>15104.089443739686</v>
      </c>
      <c r="L109" s="231">
        <f>Ресурсы!L5</f>
        <v>15530.835519859778</v>
      </c>
      <c r="M109" s="231">
        <f>Ресурсы!M5</f>
        <v>15971.99017650024</v>
      </c>
      <c r="N109" s="231">
        <f>Ресурсы!N5</f>
        <v>16428.089837944004</v>
      </c>
      <c r="O109" s="231">
        <f>Ресурсы!O5</f>
        <v>16899.691786661278</v>
      </c>
    </row>
    <row r="110" spans="1:15" ht="30" x14ac:dyDescent="0.25">
      <c r="A110" s="324" t="str" cm="1">
        <f t="array" aca="1" ref="A110" ca="1">HYPERLINK(CELL("адрес",БДР!B8),"источник")</f>
        <v>источник</v>
      </c>
      <c r="B110" s="652" t="s">
        <v>819</v>
      </c>
      <c r="C110" s="655"/>
      <c r="D110" s="231">
        <f t="shared" si="4"/>
        <v>-127739.5685858925</v>
      </c>
      <c r="E110" s="71"/>
      <c r="F110" s="231">
        <f>БДР!F8</f>
        <v>-4685</v>
      </c>
      <c r="G110" s="231">
        <f>БДР!G8</f>
        <v>-4881.8</v>
      </c>
      <c r="H110" s="231">
        <f>БДР!H8</f>
        <v>-9457.026249999999</v>
      </c>
      <c r="I110" s="231">
        <f>БДР!I8</f>
        <v>-14158.022887499999</v>
      </c>
      <c r="J110" s="231">
        <f>БДР!J8</f>
        <v>-14623.022683687499</v>
      </c>
      <c r="K110" s="231">
        <f>БДР!K8</f>
        <v>-15104.089443739686</v>
      </c>
      <c r="L110" s="231">
        <f>БДР!L8</f>
        <v>-15530.835519859778</v>
      </c>
      <c r="M110" s="231">
        <f>БДР!M8</f>
        <v>-15971.99017650024</v>
      </c>
      <c r="N110" s="231">
        <f>БДР!N8</f>
        <v>-16428.089837944004</v>
      </c>
      <c r="O110" s="231">
        <f>БДР!O8</f>
        <v>-16899.691786661278</v>
      </c>
    </row>
    <row r="111" spans="1:15" x14ac:dyDescent="0.25">
      <c r="A111" s="324"/>
      <c r="B111" s="652"/>
      <c r="C111" s="655"/>
      <c r="D111" s="231"/>
      <c r="E111" s="7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</row>
    <row r="112" spans="1:15" x14ac:dyDescent="0.25">
      <c r="A112" s="324"/>
      <c r="B112" s="652"/>
      <c r="C112" s="655"/>
      <c r="D112" s="231"/>
      <c r="E112" s="7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</row>
    <row r="113" spans="1:15" ht="30" x14ac:dyDescent="0.25">
      <c r="A113" s="324" t="str" cm="1">
        <f t="array" aca="1" ref="A113" ca="1">HYPERLINK(CELL("адрес",Ресурсы!A7),"источник")</f>
        <v>источник</v>
      </c>
      <c r="B113" s="652" t="s">
        <v>853</v>
      </c>
      <c r="C113" s="655"/>
      <c r="D113" s="231">
        <f t="shared" ref="D113" si="5">SUM(F113:O113)</f>
        <v>153287.48230307098</v>
      </c>
      <c r="E113" s="71"/>
      <c r="F113" s="231">
        <f>Ресурсы!F7</f>
        <v>5622</v>
      </c>
      <c r="G113" s="231">
        <f>Ресурсы!G7</f>
        <v>5858.16</v>
      </c>
      <c r="H113" s="231">
        <f>Ресурсы!H7</f>
        <v>11348.431499999999</v>
      </c>
      <c r="I113" s="231">
        <f>Ресурсы!I7</f>
        <v>16989.627464999998</v>
      </c>
      <c r="J113" s="231">
        <f>Ресурсы!J7</f>
        <v>17547.627220424998</v>
      </c>
      <c r="K113" s="231">
        <f>Ресурсы!K7</f>
        <v>18124.907332487623</v>
      </c>
      <c r="L113" s="231">
        <f>Ресурсы!L7</f>
        <v>18637.002623831733</v>
      </c>
      <c r="M113" s="231">
        <f>Ресурсы!M7</f>
        <v>19166.388211800288</v>
      </c>
      <c r="N113" s="231">
        <f>Ресурсы!N7</f>
        <v>19713.707805532806</v>
      </c>
      <c r="O113" s="231">
        <f>Ресурсы!O7</f>
        <v>20279.630143993534</v>
      </c>
    </row>
    <row r="114" spans="1:15" x14ac:dyDescent="0.25">
      <c r="A114" s="324" t="str" cm="1">
        <f t="array" aca="1" ref="A114" ca="1">HYPERLINK(CELL("адрес",БДДС!B13),"источник")</f>
        <v>источник</v>
      </c>
      <c r="B114" s="652" t="s">
        <v>852</v>
      </c>
      <c r="C114" s="655"/>
      <c r="D114" s="231">
        <f t="shared" ref="D114" si="6">SUM(F114:O114)</f>
        <v>-153287.48230307098</v>
      </c>
      <c r="E114" s="71"/>
      <c r="F114" s="231">
        <f>БДДС!F13</f>
        <v>-5622</v>
      </c>
      <c r="G114" s="231">
        <f>БДДС!G13</f>
        <v>-5858.16</v>
      </c>
      <c r="H114" s="231">
        <f>БДДС!H13</f>
        <v>-11348.431499999999</v>
      </c>
      <c r="I114" s="231">
        <f>БДДС!I13</f>
        <v>-16989.627464999998</v>
      </c>
      <c r="J114" s="231">
        <f>БДДС!J13</f>
        <v>-17547.627220424998</v>
      </c>
      <c r="K114" s="231">
        <f>БДДС!K13</f>
        <v>-18124.907332487623</v>
      </c>
      <c r="L114" s="231">
        <f>БДДС!L13</f>
        <v>-18637.002623831733</v>
      </c>
      <c r="M114" s="231">
        <f>БДДС!M13</f>
        <v>-19166.388211800288</v>
      </c>
      <c r="N114" s="231">
        <f>БДДС!N13</f>
        <v>-19713.707805532806</v>
      </c>
      <c r="O114" s="231">
        <f>БДДС!O13</f>
        <v>-20279.630143993534</v>
      </c>
    </row>
    <row r="115" spans="1:15" x14ac:dyDescent="0.25">
      <c r="A115" s="324"/>
      <c r="B115" s="652"/>
      <c r="C115" s="655"/>
      <c r="D115" s="231"/>
      <c r="E115" s="7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</row>
    <row r="116" spans="1:15" ht="30" x14ac:dyDescent="0.25">
      <c r="A116" s="324" t="str" cm="1">
        <f t="array" aca="1" ref="A116" ca="1">HYPERLINK(CELL("адрес",БДР!B9),"источник")</f>
        <v>источник</v>
      </c>
      <c r="B116" s="652" t="s">
        <v>825</v>
      </c>
      <c r="C116" s="655"/>
      <c r="D116" s="231"/>
      <c r="E116" s="71"/>
      <c r="F116" s="231">
        <f>БДР!F9</f>
        <v>0</v>
      </c>
      <c r="G116" s="231">
        <f>БДР!G9</f>
        <v>0</v>
      </c>
      <c r="H116" s="231">
        <f>БДР!H9</f>
        <v>-21662.741299200003</v>
      </c>
      <c r="I116" s="231">
        <f>БДР!I9</f>
        <v>-22247.635314278399</v>
      </c>
      <c r="J116" s="231">
        <f>БДР!J9</f>
        <v>-22848.321467763915</v>
      </c>
      <c r="K116" s="231">
        <f>БДР!K9</f>
        <v>-23465.226147393536</v>
      </c>
      <c r="L116" s="231">
        <f>БДР!L9</f>
        <v>-24075.322027225768</v>
      </c>
      <c r="M116" s="231">
        <f>БДР!M9</f>
        <v>-24701.280399933643</v>
      </c>
      <c r="N116" s="231">
        <f>БДР!N9</f>
        <v>-25343.513690331918</v>
      </c>
      <c r="O116" s="231">
        <f>БДР!O9</f>
        <v>-26002.445046280547</v>
      </c>
    </row>
    <row r="117" spans="1:15" ht="30" x14ac:dyDescent="0.25">
      <c r="A117" s="324" t="str" cm="1">
        <f t="array" aca="1" ref="A117" ca="1">HYPERLINK(CELL("адрес",БДР!B15),"источник")</f>
        <v>источник</v>
      </c>
      <c r="B117" s="652" t="s">
        <v>826</v>
      </c>
      <c r="C117" s="655"/>
      <c r="D117" s="231"/>
      <c r="E117" s="71"/>
      <c r="F117" s="231">
        <f>БДР!F15</f>
        <v>-3098.88</v>
      </c>
      <c r="G117" s="231">
        <f>БДР!G15</f>
        <v>-3173.2531199999999</v>
      </c>
      <c r="H117" s="231">
        <f>БДР!H15</f>
        <v>-9748.2335846400001</v>
      </c>
      <c r="I117" s="231">
        <f>БДР!I15</f>
        <v>-10011.435891425279</v>
      </c>
      <c r="J117" s="231">
        <f>БДР!J15</f>
        <v>-10281.744660493761</v>
      </c>
      <c r="K117" s="231">
        <f>БДР!K15</f>
        <v>-10559.351766327094</v>
      </c>
      <c r="L117" s="231">
        <f>БДР!L15</f>
        <v>-10833.894912251597</v>
      </c>
      <c r="M117" s="231">
        <f>БДР!M15</f>
        <v>-11115.576179970139</v>
      </c>
      <c r="N117" s="231">
        <f>БДР!N15</f>
        <v>-11404.581160649363</v>
      </c>
      <c r="O117" s="231">
        <f>БДР!O15</f>
        <v>-11701.100270826244</v>
      </c>
    </row>
    <row r="118" spans="1:15" x14ac:dyDescent="0.25">
      <c r="A118" s="324"/>
      <c r="B118" s="652" t="s">
        <v>464</v>
      </c>
      <c r="C118" s="655"/>
      <c r="D118" s="231">
        <f t="shared" ref="D118:D119" si="7">SUM(F118:O118)</f>
        <v>-282274.53693899116</v>
      </c>
      <c r="E118" s="71"/>
      <c r="F118" s="231">
        <f>SUM(F116:F117)</f>
        <v>-3098.88</v>
      </c>
      <c r="G118" s="231">
        <f t="shared" ref="G118:O118" si="8">SUM(G116:G117)</f>
        <v>-3173.2531199999999</v>
      </c>
      <c r="H118" s="231">
        <f t="shared" si="8"/>
        <v>-31410.974883840005</v>
      </c>
      <c r="I118" s="231">
        <f t="shared" si="8"/>
        <v>-32259.07120570368</v>
      </c>
      <c r="J118" s="231">
        <f t="shared" si="8"/>
        <v>-33130.066128257677</v>
      </c>
      <c r="K118" s="231">
        <f t="shared" si="8"/>
        <v>-34024.577913720626</v>
      </c>
      <c r="L118" s="231">
        <f t="shared" si="8"/>
        <v>-34909.216939477366</v>
      </c>
      <c r="M118" s="231">
        <f t="shared" si="8"/>
        <v>-35816.856579903782</v>
      </c>
      <c r="N118" s="231">
        <f t="shared" si="8"/>
        <v>-36748.094850981281</v>
      </c>
      <c r="O118" s="231">
        <f t="shared" si="8"/>
        <v>-37703.545317106793</v>
      </c>
    </row>
    <row r="119" spans="1:15" ht="30" x14ac:dyDescent="0.25">
      <c r="A119" s="324" t="str" cm="1">
        <f t="array" aca="1" ref="A119" ca="1">HYPERLINK(CELL("адрес",Персонал!B44),"источник")</f>
        <v>источник</v>
      </c>
      <c r="B119" s="652" t="s">
        <v>827</v>
      </c>
      <c r="C119" s="655"/>
      <c r="D119" s="231">
        <f t="shared" si="7"/>
        <v>282274.53693899116</v>
      </c>
      <c r="E119" s="71"/>
      <c r="F119" s="231">
        <f>Персонал!F44</f>
        <v>3098.88</v>
      </c>
      <c r="G119" s="231">
        <f>Персонал!G44</f>
        <v>3173.2531199999999</v>
      </c>
      <c r="H119" s="231">
        <f>Персонал!H44</f>
        <v>31410.974883840005</v>
      </c>
      <c r="I119" s="231">
        <f>Персонал!I44</f>
        <v>32259.07120570368</v>
      </c>
      <c r="J119" s="231">
        <f>Персонал!J44</f>
        <v>33130.066128257677</v>
      </c>
      <c r="K119" s="231">
        <f>Персонал!K44</f>
        <v>34024.577913720626</v>
      </c>
      <c r="L119" s="231">
        <f>Персонал!L44</f>
        <v>34909.216939477366</v>
      </c>
      <c r="M119" s="231">
        <f>Персонал!M44</f>
        <v>35816.856579903782</v>
      </c>
      <c r="N119" s="231">
        <f>Персонал!N44</f>
        <v>36748.094850981281</v>
      </c>
      <c r="O119" s="231">
        <f>Персонал!O44</f>
        <v>37703.545317106793</v>
      </c>
    </row>
    <row r="120" spans="1:15" x14ac:dyDescent="0.25">
      <c r="A120" s="324"/>
      <c r="B120" s="652"/>
      <c r="C120" s="655"/>
      <c r="D120" s="231"/>
      <c r="E120" s="7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</row>
    <row r="121" spans="1:15" x14ac:dyDescent="0.25">
      <c r="A121" s="324"/>
      <c r="B121" s="652"/>
      <c r="C121" s="655"/>
      <c r="D121" s="231"/>
      <c r="E121" s="7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</row>
    <row r="122" spans="1:15" ht="45" x14ac:dyDescent="0.25">
      <c r="A122" s="324" t="str" cm="1">
        <f t="array" aca="1" ref="A122" ca="1">HYPERLINK(CELL("адрес",ОбщПрРасходы!B5),"источник")</f>
        <v>источник</v>
      </c>
      <c r="B122" s="652" t="s">
        <v>859</v>
      </c>
      <c r="C122" s="655"/>
      <c r="D122" s="231">
        <f t="shared" ref="D122:D123" si="9">SUM(F122:O122)</f>
        <v>3000</v>
      </c>
      <c r="E122" s="71"/>
      <c r="F122" s="231">
        <f>ОбщПрРасходы!F5</f>
        <v>300</v>
      </c>
      <c r="G122" s="231">
        <f>ОбщПрРасходы!G5</f>
        <v>300</v>
      </c>
      <c r="H122" s="231">
        <f>ОбщПрРасходы!H5</f>
        <v>300</v>
      </c>
      <c r="I122" s="231">
        <f>ОбщПрРасходы!I5</f>
        <v>300</v>
      </c>
      <c r="J122" s="231">
        <f>ОбщПрРасходы!J5</f>
        <v>300</v>
      </c>
      <c r="K122" s="231">
        <f>ОбщПрРасходы!K5</f>
        <v>300</v>
      </c>
      <c r="L122" s="231">
        <f>ОбщПрРасходы!L5</f>
        <v>300</v>
      </c>
      <c r="M122" s="231">
        <f>ОбщПрРасходы!M5</f>
        <v>300</v>
      </c>
      <c r="N122" s="231">
        <f>ОбщПрРасходы!N5</f>
        <v>300</v>
      </c>
      <c r="O122" s="231">
        <f>ОбщПрРасходы!O5</f>
        <v>300</v>
      </c>
    </row>
    <row r="123" spans="1:15" ht="30" x14ac:dyDescent="0.25">
      <c r="A123" s="324" t="str" cm="1">
        <f t="array" aca="1" ref="A123" ca="1">HYPERLINK(CELL("адрес",БДР!B11),"источник")</f>
        <v>источник</v>
      </c>
      <c r="B123" s="652" t="s">
        <v>858</v>
      </c>
      <c r="C123" s="655"/>
      <c r="D123" s="231">
        <f t="shared" si="9"/>
        <v>-3000</v>
      </c>
      <c r="E123" s="71"/>
      <c r="F123" s="231">
        <f>БДР!F11</f>
        <v>-300</v>
      </c>
      <c r="G123" s="231">
        <f>БДР!G11</f>
        <v>-300</v>
      </c>
      <c r="H123" s="231">
        <f>БДР!H11</f>
        <v>-300</v>
      </c>
      <c r="I123" s="231">
        <f>БДР!I11</f>
        <v>-300</v>
      </c>
      <c r="J123" s="231">
        <f>БДР!J11</f>
        <v>-300</v>
      </c>
      <c r="K123" s="231">
        <f>БДР!K11</f>
        <v>-300</v>
      </c>
      <c r="L123" s="231">
        <f>БДР!L11</f>
        <v>-300</v>
      </c>
      <c r="M123" s="231">
        <f>БДР!M11</f>
        <v>-300</v>
      </c>
      <c r="N123" s="231">
        <f>БДР!N11</f>
        <v>-300</v>
      </c>
      <c r="O123" s="231">
        <f>БДР!O11</f>
        <v>-300</v>
      </c>
    </row>
    <row r="124" spans="1:15" x14ac:dyDescent="0.25">
      <c r="A124" s="324"/>
      <c r="B124" s="652"/>
      <c r="C124" s="655"/>
      <c r="D124" s="231"/>
      <c r="E124" s="7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</row>
    <row r="125" spans="1:15" x14ac:dyDescent="0.25">
      <c r="A125" s="324"/>
      <c r="B125" s="652"/>
      <c r="C125" s="655"/>
      <c r="D125" s="231"/>
      <c r="E125" s="7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</row>
    <row r="126" spans="1:15" ht="45" x14ac:dyDescent="0.25">
      <c r="A126" s="324" t="str" cm="1">
        <f t="array" aca="1" ref="A126" ca="1">HYPERLINK(CELL("адрес",ОбщПрРасходы!B12),"источник")</f>
        <v>источник</v>
      </c>
      <c r="B126" s="652" t="s">
        <v>857</v>
      </c>
      <c r="C126" s="655"/>
      <c r="D126" s="231">
        <f t="shared" ref="D126:D127" si="10">SUM(F126:O126)</f>
        <v>3600</v>
      </c>
      <c r="E126" s="71"/>
      <c r="F126" s="231">
        <f>ОбщПрРасходы!F12</f>
        <v>360</v>
      </c>
      <c r="G126" s="231">
        <f>ОбщПрРасходы!G12</f>
        <v>360</v>
      </c>
      <c r="H126" s="231">
        <f>ОбщПрРасходы!H12</f>
        <v>360</v>
      </c>
      <c r="I126" s="231">
        <f>ОбщПрРасходы!I12</f>
        <v>360</v>
      </c>
      <c r="J126" s="231">
        <f>ОбщПрРасходы!J12</f>
        <v>360</v>
      </c>
      <c r="K126" s="231">
        <f>ОбщПрРасходы!K12</f>
        <v>360</v>
      </c>
      <c r="L126" s="231">
        <f>ОбщПрРасходы!L12</f>
        <v>360</v>
      </c>
      <c r="M126" s="231">
        <f>ОбщПрРасходы!M12</f>
        <v>360</v>
      </c>
      <c r="N126" s="231">
        <f>ОбщПрРасходы!N12</f>
        <v>360</v>
      </c>
      <c r="O126" s="231">
        <f>ОбщПрРасходы!O12</f>
        <v>360</v>
      </c>
    </row>
    <row r="127" spans="1:15" x14ac:dyDescent="0.25">
      <c r="A127" s="324" t="str" cm="1">
        <f t="array" aca="1" ref="A127" ca="1">HYPERLINK(CELL("адрес",БДДС!B17),"источник")</f>
        <v>источник</v>
      </c>
      <c r="B127" s="652" t="s">
        <v>856</v>
      </c>
      <c r="C127" s="655"/>
      <c r="D127" s="231">
        <f t="shared" si="10"/>
        <v>-3600</v>
      </c>
      <c r="E127" s="71"/>
      <c r="F127" s="231">
        <f>БДДС!F17</f>
        <v>-360</v>
      </c>
      <c r="G127" s="231">
        <f>БДДС!G17</f>
        <v>-360</v>
      </c>
      <c r="H127" s="231">
        <f>БДДС!H17</f>
        <v>-360</v>
      </c>
      <c r="I127" s="231">
        <f>БДДС!I17</f>
        <v>-360</v>
      </c>
      <c r="J127" s="231">
        <f>БДДС!J17</f>
        <v>-360</v>
      </c>
      <c r="K127" s="231">
        <f>БДДС!K17</f>
        <v>-360</v>
      </c>
      <c r="L127" s="231">
        <f>БДДС!L17</f>
        <v>-360</v>
      </c>
      <c r="M127" s="231">
        <f>БДДС!M17</f>
        <v>-360</v>
      </c>
      <c r="N127" s="231">
        <f>БДДС!N17</f>
        <v>-360</v>
      </c>
      <c r="O127" s="231">
        <f>БДДС!O17</f>
        <v>-360</v>
      </c>
    </row>
    <row r="128" spans="1:15" x14ac:dyDescent="0.25">
      <c r="A128" s="324"/>
      <c r="B128" s="652"/>
      <c r="C128" s="655"/>
      <c r="D128" s="231"/>
      <c r="E128" s="7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</row>
    <row r="129" spans="1:15" x14ac:dyDescent="0.25">
      <c r="A129" s="324"/>
      <c r="B129" s="652"/>
      <c r="C129" s="655"/>
      <c r="D129" s="231"/>
      <c r="E129" s="7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</row>
    <row r="130" spans="1:15" ht="30" x14ac:dyDescent="0.25">
      <c r="A130" s="324" t="str" cm="1">
        <f t="array" aca="1" ref="A130" ca="1">HYPERLINK(CELL("адрес",АдмРасходы!B5),"источник")</f>
        <v>источник</v>
      </c>
      <c r="B130" s="652" t="s">
        <v>829</v>
      </c>
      <c r="C130" s="655"/>
      <c r="D130" s="231">
        <f t="shared" ref="D130:D131" si="11">SUM(F130:O130)</f>
        <v>1500</v>
      </c>
      <c r="E130" s="71"/>
      <c r="F130" s="231">
        <f>АдмРасходы!F5</f>
        <v>150</v>
      </c>
      <c r="G130" s="231">
        <f>АдмРасходы!G5</f>
        <v>150</v>
      </c>
      <c r="H130" s="231">
        <f>АдмРасходы!H5</f>
        <v>150</v>
      </c>
      <c r="I130" s="231">
        <f>АдмРасходы!I5</f>
        <v>150</v>
      </c>
      <c r="J130" s="231">
        <f>АдмРасходы!J5</f>
        <v>150</v>
      </c>
      <c r="K130" s="231">
        <f>АдмРасходы!K5</f>
        <v>150</v>
      </c>
      <c r="L130" s="231">
        <f>АдмРасходы!L5</f>
        <v>150</v>
      </c>
      <c r="M130" s="231">
        <f>АдмРасходы!M5</f>
        <v>150</v>
      </c>
      <c r="N130" s="231">
        <f>АдмРасходы!N5</f>
        <v>150</v>
      </c>
      <c r="O130" s="231">
        <f>АдмРасходы!O5</f>
        <v>150</v>
      </c>
    </row>
    <row r="131" spans="1:15" ht="30" x14ac:dyDescent="0.25">
      <c r="A131" s="324" t="str" cm="1">
        <f t="array" aca="1" ref="A131" ca="1">HYPERLINK(CELL("адрес",БДР!B16),"источник")</f>
        <v>источник</v>
      </c>
      <c r="B131" s="652" t="s">
        <v>831</v>
      </c>
      <c r="C131" s="655"/>
      <c r="D131" s="231">
        <f t="shared" si="11"/>
        <v>-1500</v>
      </c>
      <c r="E131" s="71"/>
      <c r="F131" s="231">
        <f>БДР!F16</f>
        <v>-150</v>
      </c>
      <c r="G131" s="231">
        <f>БДР!G16</f>
        <v>-150</v>
      </c>
      <c r="H131" s="231">
        <f>БДР!H16</f>
        <v>-150</v>
      </c>
      <c r="I131" s="231">
        <f>БДР!I16</f>
        <v>-150</v>
      </c>
      <c r="J131" s="231">
        <f>БДР!J16</f>
        <v>-150</v>
      </c>
      <c r="K131" s="231">
        <f>БДР!K16</f>
        <v>-150</v>
      </c>
      <c r="L131" s="231">
        <f>БДР!L16</f>
        <v>-150</v>
      </c>
      <c r="M131" s="231">
        <f>БДР!M16</f>
        <v>-150</v>
      </c>
      <c r="N131" s="231">
        <f>БДР!N16</f>
        <v>-150</v>
      </c>
      <c r="O131" s="231">
        <f>БДР!O16</f>
        <v>-150</v>
      </c>
    </row>
    <row r="132" spans="1:15" x14ac:dyDescent="0.25">
      <c r="A132" s="324"/>
      <c r="B132" s="652"/>
      <c r="C132" s="655"/>
      <c r="D132" s="231"/>
      <c r="E132" s="7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</row>
    <row r="133" spans="1:15" x14ac:dyDescent="0.25">
      <c r="A133" s="324"/>
      <c r="B133" s="652"/>
      <c r="C133" s="655"/>
      <c r="D133" s="231"/>
      <c r="E133" s="7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</row>
    <row r="134" spans="1:15" ht="30" x14ac:dyDescent="0.25">
      <c r="A134" s="324" t="str" cm="1">
        <f t="array" aca="1" ref="A134" ca="1">HYPERLINK(CELL("адрес",АдмРасходы!B12),"источник")</f>
        <v>источник</v>
      </c>
      <c r="B134" s="652" t="s">
        <v>855</v>
      </c>
      <c r="C134" s="655"/>
      <c r="D134" s="231">
        <f t="shared" ref="D134:D135" si="12">SUM(F134:O134)</f>
        <v>1800</v>
      </c>
      <c r="E134" s="71"/>
      <c r="F134" s="231">
        <f>АдмРасходы!F12</f>
        <v>180</v>
      </c>
      <c r="G134" s="231">
        <f>АдмРасходы!G12</f>
        <v>180</v>
      </c>
      <c r="H134" s="231">
        <f>АдмРасходы!H12</f>
        <v>180</v>
      </c>
      <c r="I134" s="231">
        <f>АдмРасходы!I12</f>
        <v>180</v>
      </c>
      <c r="J134" s="231">
        <f>АдмРасходы!J12</f>
        <v>180</v>
      </c>
      <c r="K134" s="231">
        <f>АдмРасходы!K12</f>
        <v>180</v>
      </c>
      <c r="L134" s="231">
        <f>АдмРасходы!L12</f>
        <v>180</v>
      </c>
      <c r="M134" s="231">
        <f>АдмРасходы!M12</f>
        <v>180</v>
      </c>
      <c r="N134" s="231">
        <f>АдмРасходы!N12</f>
        <v>180</v>
      </c>
      <c r="O134" s="231">
        <f>АдмРасходы!O12</f>
        <v>180</v>
      </c>
    </row>
    <row r="135" spans="1:15" ht="30" x14ac:dyDescent="0.25">
      <c r="A135" s="324" t="str" cm="1">
        <f t="array" aca="1" ref="A135" ca="1">HYPERLINK(CELL("адрес",БДДС!B18),"источник")</f>
        <v>источник</v>
      </c>
      <c r="B135" s="652" t="s">
        <v>854</v>
      </c>
      <c r="C135" s="655"/>
      <c r="D135" s="231">
        <f t="shared" si="12"/>
        <v>-1800</v>
      </c>
      <c r="E135" s="71"/>
      <c r="F135" s="231">
        <f>БДДС!F18</f>
        <v>-180</v>
      </c>
      <c r="G135" s="231">
        <f>БДДС!G18</f>
        <v>-180</v>
      </c>
      <c r="H135" s="231">
        <f>БДДС!H18</f>
        <v>-180</v>
      </c>
      <c r="I135" s="231">
        <f>БДДС!I18</f>
        <v>-180</v>
      </c>
      <c r="J135" s="231">
        <f>БДДС!J18</f>
        <v>-180</v>
      </c>
      <c r="K135" s="231">
        <f>БДДС!K18</f>
        <v>-180</v>
      </c>
      <c r="L135" s="231">
        <f>БДДС!L18</f>
        <v>-180</v>
      </c>
      <c r="M135" s="231">
        <f>БДДС!M18</f>
        <v>-180</v>
      </c>
      <c r="N135" s="231">
        <f>БДДС!N18</f>
        <v>-180</v>
      </c>
      <c r="O135" s="231">
        <f>БДДС!O18</f>
        <v>-180</v>
      </c>
    </row>
    <row r="136" spans="1:15" x14ac:dyDescent="0.25">
      <c r="A136" s="324"/>
      <c r="B136" s="652"/>
      <c r="C136" s="655"/>
      <c r="D136" s="231"/>
      <c r="E136" s="7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</row>
    <row r="137" spans="1:15" x14ac:dyDescent="0.25">
      <c r="A137" s="324"/>
      <c r="B137" s="652"/>
      <c r="C137" s="655"/>
      <c r="D137" s="231"/>
      <c r="E137" s="7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</row>
    <row r="138" spans="1:15" x14ac:dyDescent="0.25">
      <c r="A138" s="324" t="str" cm="1">
        <f t="array" aca="1" ref="A138" ca="1">HYPERLINK(CELL("адрес",Финансы!A25),"источник")</f>
        <v>источник</v>
      </c>
      <c r="B138" s="652" t="s">
        <v>828</v>
      </c>
      <c r="C138" s="655"/>
      <c r="D138" s="231">
        <f t="shared" ref="D138:D144" ca="1" si="13">SUM(F138:O138)</f>
        <v>51300</v>
      </c>
      <c r="E138" s="71"/>
      <c r="F138" s="231">
        <f ca="1">Финансы!F25</f>
        <v>0</v>
      </c>
      <c r="G138" s="231">
        <f ca="1">Финансы!G25</f>
        <v>5700</v>
      </c>
      <c r="H138" s="231">
        <f ca="1">Финансы!H25</f>
        <v>10687.5</v>
      </c>
      <c r="I138" s="231">
        <f ca="1">Финансы!I25</f>
        <v>9262.5</v>
      </c>
      <c r="J138" s="231">
        <f ca="1">Финансы!J25</f>
        <v>7837.5</v>
      </c>
      <c r="K138" s="231">
        <f ca="1">Финансы!K25</f>
        <v>6412.5</v>
      </c>
      <c r="L138" s="231">
        <f ca="1">Финансы!L25</f>
        <v>4987.5</v>
      </c>
      <c r="M138" s="231">
        <f ca="1">Финансы!M25</f>
        <v>3562.5</v>
      </c>
      <c r="N138" s="231">
        <f ca="1">Финансы!N25</f>
        <v>2137.5</v>
      </c>
      <c r="O138" s="231">
        <f ca="1">Финансы!O25</f>
        <v>712.5</v>
      </c>
    </row>
    <row r="139" spans="1:15" x14ac:dyDescent="0.25">
      <c r="A139" s="324" t="str" cm="1">
        <f t="array" aca="1" ref="A139" ca="1">HYPERLINK(CELL("адрес",БДР!B20),"источник")</f>
        <v>источник</v>
      </c>
      <c r="B139" s="652" t="s">
        <v>836</v>
      </c>
      <c r="C139" s="655"/>
      <c r="D139" s="231">
        <f t="shared" ca="1" si="13"/>
        <v>-51300</v>
      </c>
      <c r="E139" s="71"/>
      <c r="F139" s="231">
        <f ca="1">БДР!F20</f>
        <v>0</v>
      </c>
      <c r="G139" s="231">
        <f ca="1">БДР!G20</f>
        <v>-5700</v>
      </c>
      <c r="H139" s="231">
        <f ca="1">БДР!H20</f>
        <v>-10687.5</v>
      </c>
      <c r="I139" s="231">
        <f ca="1">БДР!I20</f>
        <v>-9262.5</v>
      </c>
      <c r="J139" s="231">
        <f ca="1">БДР!J20</f>
        <v>-7837.5</v>
      </c>
      <c r="K139" s="231">
        <f ca="1">БДР!K20</f>
        <v>-6412.5</v>
      </c>
      <c r="L139" s="231">
        <f ca="1">БДР!L20</f>
        <v>-4987.5</v>
      </c>
      <c r="M139" s="231">
        <f ca="1">БДР!M20</f>
        <v>-3562.5</v>
      </c>
      <c r="N139" s="231">
        <f ca="1">БДР!N20</f>
        <v>-2137.5</v>
      </c>
      <c r="O139" s="231">
        <f ca="1">БДР!O20</f>
        <v>-712.5</v>
      </c>
    </row>
    <row r="140" spans="1:15" ht="30" x14ac:dyDescent="0.25">
      <c r="A140" s="324" t="str" cm="1">
        <f t="array" aca="1" ref="A140" ca="1">HYPERLINK(CELL("адрес",БДДС!B25),"источник")</f>
        <v>источник</v>
      </c>
      <c r="B140" s="652" t="s">
        <v>835</v>
      </c>
      <c r="C140" s="655"/>
      <c r="D140" s="231">
        <f t="shared" ca="1" si="13"/>
        <v>-51300</v>
      </c>
      <c r="E140" s="71"/>
      <c r="F140" s="231">
        <f ca="1">БДДС!F25</f>
        <v>0</v>
      </c>
      <c r="G140" s="231">
        <f ca="1">БДДС!G25</f>
        <v>-5700</v>
      </c>
      <c r="H140" s="231">
        <f ca="1">БДДС!H25</f>
        <v>-10687.5</v>
      </c>
      <c r="I140" s="231">
        <f ca="1">БДДС!I25</f>
        <v>-9262.5</v>
      </c>
      <c r="J140" s="231">
        <f ca="1">БДДС!J25</f>
        <v>-7837.5</v>
      </c>
      <c r="K140" s="231">
        <f ca="1">БДДС!K25</f>
        <v>-6412.5</v>
      </c>
      <c r="L140" s="231">
        <f ca="1">БДДС!L25</f>
        <v>-4987.5</v>
      </c>
      <c r="M140" s="231">
        <f ca="1">БДДС!M25</f>
        <v>-3562.5</v>
      </c>
      <c r="N140" s="231">
        <f ca="1">БДДС!N25</f>
        <v>-2137.5</v>
      </c>
      <c r="O140" s="231">
        <f ca="1">БДДС!O25</f>
        <v>-712.5</v>
      </c>
    </row>
    <row r="141" spans="1:15" x14ac:dyDescent="0.25">
      <c r="A141" s="324"/>
      <c r="B141" s="652"/>
      <c r="C141" s="655"/>
      <c r="D141" s="231"/>
      <c r="E141" s="7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</row>
    <row r="142" spans="1:15" x14ac:dyDescent="0.25">
      <c r="A142" s="324"/>
      <c r="B142" s="652"/>
      <c r="C142" s="655"/>
      <c r="D142" s="231"/>
      <c r="E142" s="7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</row>
    <row r="143" spans="1:15" ht="30" x14ac:dyDescent="0.25">
      <c r="A143" s="324" t="str" cm="1">
        <f t="array" aca="1" ref="A143" ca="1">HYPERLINK(CELL("адрес",ПрочДоходы!B7),"источник")</f>
        <v>источник</v>
      </c>
      <c r="B143" s="652" t="s">
        <v>833</v>
      </c>
      <c r="C143" s="655"/>
      <c r="D143" s="231">
        <f t="shared" si="13"/>
        <v>560</v>
      </c>
      <c r="E143" s="71"/>
      <c r="F143" s="231">
        <f>ПрочДоходы!F5</f>
        <v>0</v>
      </c>
      <c r="G143" s="231">
        <f>ПрочДоходы!G5</f>
        <v>0</v>
      </c>
      <c r="H143" s="231">
        <f>ПрочДоходы!H5</f>
        <v>70</v>
      </c>
      <c r="I143" s="231">
        <f>ПрочДоходы!I5</f>
        <v>70</v>
      </c>
      <c r="J143" s="231">
        <f>ПрочДоходы!J5</f>
        <v>70</v>
      </c>
      <c r="K143" s="231">
        <f>ПрочДоходы!K5</f>
        <v>70</v>
      </c>
      <c r="L143" s="231">
        <f>ПрочДоходы!L5</f>
        <v>70</v>
      </c>
      <c r="M143" s="231">
        <f>ПрочДоходы!M5</f>
        <v>70</v>
      </c>
      <c r="N143" s="231">
        <f>ПрочДоходы!N5</f>
        <v>70</v>
      </c>
      <c r="O143" s="231">
        <f>ПрочДоходы!O5</f>
        <v>70</v>
      </c>
    </row>
    <row r="144" spans="1:15" x14ac:dyDescent="0.25">
      <c r="A144" s="324" t="str" cm="1">
        <f t="array" aca="1" ref="A144" ca="1">HYPERLINK(CELL("адрес",БДР!B24),"источник")</f>
        <v>источник</v>
      </c>
      <c r="B144" s="652" t="s">
        <v>830</v>
      </c>
      <c r="C144" s="655"/>
      <c r="D144" s="231">
        <f t="shared" si="13"/>
        <v>560</v>
      </c>
      <c r="E144" s="71"/>
      <c r="F144" s="231">
        <f>БДР!F21</f>
        <v>0</v>
      </c>
      <c r="G144" s="231">
        <f>БДР!G21</f>
        <v>0</v>
      </c>
      <c r="H144" s="231">
        <f>БДР!H21</f>
        <v>70</v>
      </c>
      <c r="I144" s="231">
        <f>БДР!I21</f>
        <v>70</v>
      </c>
      <c r="J144" s="231">
        <f>БДР!J21</f>
        <v>70</v>
      </c>
      <c r="K144" s="231">
        <f>БДР!K21</f>
        <v>70</v>
      </c>
      <c r="L144" s="231">
        <f>БДР!L21</f>
        <v>70</v>
      </c>
      <c r="M144" s="231">
        <f>БДР!M21</f>
        <v>70</v>
      </c>
      <c r="N144" s="231">
        <f>БДР!N21</f>
        <v>70</v>
      </c>
      <c r="O144" s="231">
        <f>БДР!O21</f>
        <v>70</v>
      </c>
    </row>
    <row r="145" spans="1:15" ht="30" x14ac:dyDescent="0.25">
      <c r="A145" s="324" t="str" cm="1">
        <f t="array" aca="1" ref="A145" ca="1">HYPERLINK(CELL("адрес",БДДС!B9),"источник")</f>
        <v>источник</v>
      </c>
      <c r="B145" s="652" t="s">
        <v>845</v>
      </c>
      <c r="C145" s="655"/>
      <c r="D145" s="231">
        <f>SUM(F145:O145)</f>
        <v>560</v>
      </c>
      <c r="E145" s="71"/>
      <c r="F145" s="231">
        <f>БДДС!F9</f>
        <v>0</v>
      </c>
      <c r="G145" s="231">
        <f>БДДС!G9</f>
        <v>0</v>
      </c>
      <c r="H145" s="231">
        <f>БДДС!H9</f>
        <v>70</v>
      </c>
      <c r="I145" s="231">
        <f>БДДС!I9</f>
        <v>70</v>
      </c>
      <c r="J145" s="231">
        <f>БДДС!J9</f>
        <v>70</v>
      </c>
      <c r="K145" s="231">
        <f>БДДС!K9</f>
        <v>70</v>
      </c>
      <c r="L145" s="231">
        <f>БДДС!L9</f>
        <v>70</v>
      </c>
      <c r="M145" s="231">
        <f>БДДС!M9</f>
        <v>70</v>
      </c>
      <c r="N145" s="231">
        <f>БДДС!N9</f>
        <v>70</v>
      </c>
      <c r="O145" s="231">
        <f>БДДС!O9</f>
        <v>70</v>
      </c>
    </row>
    <row r="146" spans="1:15" x14ac:dyDescent="0.25">
      <c r="A146" s="324"/>
      <c r="B146" s="652"/>
      <c r="C146" s="655"/>
      <c r="D146" s="231"/>
      <c r="E146" s="7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</row>
    <row r="147" spans="1:15" x14ac:dyDescent="0.25">
      <c r="A147" s="324"/>
      <c r="B147" s="652"/>
      <c r="C147" s="655"/>
      <c r="D147" s="231"/>
      <c r="E147" s="7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</row>
    <row r="148" spans="1:15" ht="30" x14ac:dyDescent="0.25">
      <c r="A148" s="324" t="str" cm="1">
        <f t="array" aca="1" ref="A148" ca="1">HYPERLINK(CELL("адрес",ПрочРасходы!B7),"источник")</f>
        <v>источник</v>
      </c>
      <c r="B148" s="652" t="s">
        <v>834</v>
      </c>
      <c r="C148" s="655"/>
      <c r="D148" s="231">
        <f t="shared" ref="D148:D150" si="14">SUM(F148:O148)</f>
        <v>200</v>
      </c>
      <c r="E148" s="71"/>
      <c r="F148" s="231">
        <f>ПрочРасходы!F5</f>
        <v>20</v>
      </c>
      <c r="G148" s="231">
        <f>ПрочРасходы!G5</f>
        <v>20</v>
      </c>
      <c r="H148" s="231">
        <f>ПрочРасходы!H5</f>
        <v>20</v>
      </c>
      <c r="I148" s="231">
        <f>ПрочРасходы!I5</f>
        <v>20</v>
      </c>
      <c r="J148" s="231">
        <f>ПрочРасходы!J5</f>
        <v>20</v>
      </c>
      <c r="K148" s="231">
        <f>ПрочРасходы!K5</f>
        <v>20</v>
      </c>
      <c r="L148" s="231">
        <f>ПрочРасходы!L5</f>
        <v>20</v>
      </c>
      <c r="M148" s="231">
        <f>ПрочРасходы!M5</f>
        <v>20</v>
      </c>
      <c r="N148" s="231">
        <f>ПрочРасходы!N5</f>
        <v>20</v>
      </c>
      <c r="O148" s="231">
        <f>ПрочРасходы!O5</f>
        <v>20</v>
      </c>
    </row>
    <row r="149" spans="1:15" x14ac:dyDescent="0.25">
      <c r="A149" s="324" t="str" cm="1">
        <f t="array" aca="1" ref="A149" ca="1">HYPERLINK(CELL("адрес",БДР!B28),"источник")</f>
        <v>источник</v>
      </c>
      <c r="B149" s="652" t="s">
        <v>832</v>
      </c>
      <c r="C149" s="655"/>
      <c r="D149" s="231">
        <f t="shared" si="14"/>
        <v>-200</v>
      </c>
      <c r="E149" s="71"/>
      <c r="F149" s="231">
        <f>БДР!F22</f>
        <v>-20</v>
      </c>
      <c r="G149" s="231">
        <f>БДР!G22</f>
        <v>-20</v>
      </c>
      <c r="H149" s="231">
        <f>БДР!H22</f>
        <v>-20</v>
      </c>
      <c r="I149" s="231">
        <f>БДР!I22</f>
        <v>-20</v>
      </c>
      <c r="J149" s="231">
        <f>БДР!J22</f>
        <v>-20</v>
      </c>
      <c r="K149" s="231">
        <f>БДР!K22</f>
        <v>-20</v>
      </c>
      <c r="L149" s="231">
        <f>БДР!L22</f>
        <v>-20</v>
      </c>
      <c r="M149" s="231">
        <f>БДР!M22</f>
        <v>-20</v>
      </c>
      <c r="N149" s="231">
        <f>БДР!N22</f>
        <v>-20</v>
      </c>
      <c r="O149" s="231">
        <f>БДР!O22</f>
        <v>-20</v>
      </c>
    </row>
    <row r="150" spans="1:15" x14ac:dyDescent="0.25">
      <c r="A150" s="324" t="str" cm="1">
        <f t="array" aca="1" ref="A150" ca="1">HYPERLINK(CELL("адрес",БДДС!B24),"источник")</f>
        <v>источник</v>
      </c>
      <c r="B150" s="652" t="s">
        <v>846</v>
      </c>
      <c r="C150" s="655"/>
      <c r="D150" s="231">
        <f t="shared" si="14"/>
        <v>-200</v>
      </c>
      <c r="E150" s="71"/>
      <c r="F150" s="231">
        <f>БДДС!F24</f>
        <v>-20</v>
      </c>
      <c r="G150" s="231">
        <f>БДДС!G24</f>
        <v>-20</v>
      </c>
      <c r="H150" s="231">
        <f>БДДС!H24</f>
        <v>-20</v>
      </c>
      <c r="I150" s="231">
        <f>БДДС!I24</f>
        <v>-20</v>
      </c>
      <c r="J150" s="231">
        <f>БДДС!J24</f>
        <v>-20</v>
      </c>
      <c r="K150" s="231">
        <f>БДДС!K24</f>
        <v>-20</v>
      </c>
      <c r="L150" s="231">
        <f>БДДС!L24</f>
        <v>-20</v>
      </c>
      <c r="M150" s="231">
        <f>БДДС!M24</f>
        <v>-20</v>
      </c>
      <c r="N150" s="231">
        <f>БДДС!N24</f>
        <v>-20</v>
      </c>
      <c r="O150" s="231">
        <f>БДДС!O24</f>
        <v>-20</v>
      </c>
    </row>
    <row r="151" spans="1:15" x14ac:dyDescent="0.25">
      <c r="A151" s="324"/>
      <c r="B151" s="652"/>
      <c r="C151" s="655"/>
      <c r="D151" s="231"/>
      <c r="E151" s="7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</row>
    <row r="152" spans="1:15" x14ac:dyDescent="0.25">
      <c r="A152" s="324"/>
      <c r="B152" s="652"/>
      <c r="C152" s="655"/>
      <c r="D152" s="231"/>
      <c r="E152" s="7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</row>
    <row r="153" spans="1:15" x14ac:dyDescent="0.25">
      <c r="A153" s="324" t="str" cm="1">
        <f t="array" aca="1" ref="A153" ca="1">HYPERLINK(CELL("адрес",НалЗемля!A15),"источник")</f>
        <v>источник</v>
      </c>
      <c r="B153" s="652" t="s">
        <v>839</v>
      </c>
      <c r="C153" s="655"/>
      <c r="D153" s="231">
        <f t="shared" ref="D153:D155" si="15">SUM(F153:O153)</f>
        <v>0</v>
      </c>
      <c r="E153" s="71"/>
      <c r="F153" s="231">
        <f>НалЗемля!F15</f>
        <v>0</v>
      </c>
      <c r="G153" s="231">
        <f>НалЗемля!G15</f>
        <v>0</v>
      </c>
      <c r="H153" s="231">
        <f>НалЗемля!H15</f>
        <v>0</v>
      </c>
      <c r="I153" s="231">
        <f>НалЗемля!I15</f>
        <v>0</v>
      </c>
      <c r="J153" s="231">
        <f>НалЗемля!J15</f>
        <v>0</v>
      </c>
      <c r="K153" s="231">
        <f>НалЗемля!K15</f>
        <v>0</v>
      </c>
      <c r="L153" s="231">
        <f>НалЗемля!L15</f>
        <v>0</v>
      </c>
      <c r="M153" s="231">
        <f>НалЗемля!M15</f>
        <v>0</v>
      </c>
      <c r="N153" s="231">
        <f>НалЗемля!N15</f>
        <v>0</v>
      </c>
      <c r="O153" s="231">
        <f>НалЗемля!O15</f>
        <v>0</v>
      </c>
    </row>
    <row r="154" spans="1:15" x14ac:dyDescent="0.25">
      <c r="A154" s="324" t="str" cm="1">
        <f t="array" aca="1" ref="A154" ca="1">HYPERLINK(CELL("адрес",БДР!B23),"источник")</f>
        <v>источник</v>
      </c>
      <c r="B154" s="652" t="s">
        <v>837</v>
      </c>
      <c r="C154" s="655"/>
      <c r="D154" s="231">
        <f t="shared" si="15"/>
        <v>0</v>
      </c>
      <c r="E154" s="71"/>
      <c r="F154" s="231">
        <f>БДР!F23</f>
        <v>0</v>
      </c>
      <c r="G154" s="231">
        <f>БДР!G23</f>
        <v>0</v>
      </c>
      <c r="H154" s="231">
        <f>БДР!H23</f>
        <v>0</v>
      </c>
      <c r="I154" s="231">
        <f>БДР!I23</f>
        <v>0</v>
      </c>
      <c r="J154" s="231">
        <f>БДР!J23</f>
        <v>0</v>
      </c>
      <c r="K154" s="231">
        <f>БДР!K23</f>
        <v>0</v>
      </c>
      <c r="L154" s="231">
        <f>БДР!L23</f>
        <v>0</v>
      </c>
      <c r="M154" s="231">
        <f>БДР!M23</f>
        <v>0</v>
      </c>
      <c r="N154" s="231">
        <f>БДР!N23</f>
        <v>0</v>
      </c>
      <c r="O154" s="231">
        <f>БДР!O23</f>
        <v>0</v>
      </c>
    </row>
    <row r="155" spans="1:15" ht="30" x14ac:dyDescent="0.25">
      <c r="A155" s="324" t="str" cm="1">
        <f t="array" aca="1" ref="A155" ca="1">HYPERLINK(CELL("адрес",БДДС!B23),"источник")</f>
        <v>источник</v>
      </c>
      <c r="B155" s="652" t="s">
        <v>847</v>
      </c>
      <c r="C155" s="655"/>
      <c r="D155" s="231">
        <f t="shared" si="15"/>
        <v>0</v>
      </c>
      <c r="E155" s="71"/>
      <c r="F155" s="231">
        <f>БДДС!F23</f>
        <v>0</v>
      </c>
      <c r="G155" s="231">
        <f>БДДС!G23</f>
        <v>0</v>
      </c>
      <c r="H155" s="231">
        <f>БДДС!H23</f>
        <v>0</v>
      </c>
      <c r="I155" s="231">
        <f>БДДС!I23</f>
        <v>0</v>
      </c>
      <c r="J155" s="231">
        <f>БДДС!J23</f>
        <v>0</v>
      </c>
      <c r="K155" s="231">
        <f>БДДС!K23</f>
        <v>0</v>
      </c>
      <c r="L155" s="231">
        <f>БДДС!L23</f>
        <v>0</v>
      </c>
      <c r="M155" s="231">
        <f>БДДС!M23</f>
        <v>0</v>
      </c>
      <c r="N155" s="231">
        <f>БДДС!N23</f>
        <v>0</v>
      </c>
      <c r="O155" s="231">
        <f>БДДС!O23</f>
        <v>0</v>
      </c>
    </row>
    <row r="156" spans="1:15" x14ac:dyDescent="0.25">
      <c r="A156" s="324"/>
      <c r="B156" s="652"/>
      <c r="C156" s="655"/>
      <c r="D156" s="231"/>
      <c r="E156" s="7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</row>
    <row r="157" spans="1:15" ht="45" x14ac:dyDescent="0.25">
      <c r="A157" s="324" t="str" cm="1">
        <f t="array" aca="1" ref="A157" ca="1">HYPERLINK(CELL("адрес",НалИмущество!A19),"источник")</f>
        <v>источник</v>
      </c>
      <c r="B157" s="652" t="s">
        <v>840</v>
      </c>
      <c r="C157" s="655"/>
      <c r="D157" s="231">
        <f t="shared" ref="D157:D159" si="16">SUM(F157:O157)</f>
        <v>0</v>
      </c>
      <c r="E157" s="71"/>
      <c r="F157" s="231">
        <f>НалИмущество!F19</f>
        <v>0</v>
      </c>
      <c r="G157" s="231">
        <f>НалИмущество!G19</f>
        <v>0</v>
      </c>
      <c r="H157" s="231">
        <f>НалИмущество!H19</f>
        <v>0</v>
      </c>
      <c r="I157" s="231">
        <f>НалИмущество!I19</f>
        <v>0</v>
      </c>
      <c r="J157" s="231">
        <f>НалИмущество!J19</f>
        <v>0</v>
      </c>
      <c r="K157" s="231">
        <f>НалИмущество!K19</f>
        <v>0</v>
      </c>
      <c r="L157" s="231">
        <f>НалИмущество!L19</f>
        <v>0</v>
      </c>
      <c r="M157" s="231">
        <f>НалИмущество!M19</f>
        <v>0</v>
      </c>
      <c r="N157" s="231">
        <f>НалИмущество!N19</f>
        <v>0</v>
      </c>
      <c r="O157" s="231">
        <f>НалИмущество!O19</f>
        <v>0</v>
      </c>
    </row>
    <row r="158" spans="1:15" ht="30" x14ac:dyDescent="0.25">
      <c r="A158" s="324" t="str" cm="1">
        <f t="array" aca="1" ref="A158" ca="1">HYPERLINK(CELL("адрес",БДР!B36),"источник")</f>
        <v>источник</v>
      </c>
      <c r="B158" s="652" t="s">
        <v>838</v>
      </c>
      <c r="C158" s="655"/>
      <c r="D158" s="231">
        <f t="shared" si="16"/>
        <v>0</v>
      </c>
      <c r="E158" s="71"/>
      <c r="F158" s="231">
        <f>БДР!F24</f>
        <v>0</v>
      </c>
      <c r="G158" s="231">
        <f>БДР!G24</f>
        <v>0</v>
      </c>
      <c r="H158" s="231">
        <f>БДР!H24</f>
        <v>0</v>
      </c>
      <c r="I158" s="231">
        <f>БДР!I24</f>
        <v>0</v>
      </c>
      <c r="J158" s="231">
        <f>БДР!J24</f>
        <v>0</v>
      </c>
      <c r="K158" s="231">
        <f>БДР!K24</f>
        <v>0</v>
      </c>
      <c r="L158" s="231">
        <f>БДР!L24</f>
        <v>0</v>
      </c>
      <c r="M158" s="231">
        <f>БДР!M24</f>
        <v>0</v>
      </c>
      <c r="N158" s="231">
        <f>БДР!N24</f>
        <v>0</v>
      </c>
      <c r="O158" s="231">
        <f>БДР!O24</f>
        <v>0</v>
      </c>
    </row>
    <row r="159" spans="1:15" ht="30" x14ac:dyDescent="0.25">
      <c r="A159" s="324" t="str" cm="1">
        <f t="array" aca="1" ref="A159" ca="1">HYPERLINK(CELL("адрес",БДДС!B21),"источник")</f>
        <v>источник</v>
      </c>
      <c r="B159" s="652" t="s">
        <v>848</v>
      </c>
      <c r="C159" s="655"/>
      <c r="D159" s="231">
        <f t="shared" si="16"/>
        <v>0</v>
      </c>
      <c r="E159" s="71"/>
      <c r="F159" s="231">
        <f>БДДС!F21</f>
        <v>0</v>
      </c>
      <c r="G159" s="231">
        <f>БДДС!G21</f>
        <v>0</v>
      </c>
      <c r="H159" s="231">
        <f>БДДС!H21</f>
        <v>0</v>
      </c>
      <c r="I159" s="231">
        <f>БДДС!I21</f>
        <v>0</v>
      </c>
      <c r="J159" s="231">
        <f>БДДС!J21</f>
        <v>0</v>
      </c>
      <c r="K159" s="231">
        <f>БДДС!K21</f>
        <v>0</v>
      </c>
      <c r="L159" s="231">
        <f>БДДС!L21</f>
        <v>0</v>
      </c>
      <c r="M159" s="231">
        <f>БДДС!M21</f>
        <v>0</v>
      </c>
      <c r="N159" s="231">
        <f>БДДС!N21</f>
        <v>0</v>
      </c>
      <c r="O159" s="231">
        <f>БДДС!O21</f>
        <v>0</v>
      </c>
    </row>
    <row r="160" spans="1:15" x14ac:dyDescent="0.25">
      <c r="A160" s="324"/>
      <c r="B160" s="652"/>
      <c r="C160" s="655"/>
      <c r="D160" s="231"/>
      <c r="E160" s="7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</row>
    <row r="161" spans="1:15" x14ac:dyDescent="0.25">
      <c r="A161" s="324"/>
      <c r="B161" s="652"/>
      <c r="C161" s="655"/>
      <c r="D161" s="231"/>
      <c r="E161" s="7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</row>
    <row r="162" spans="1:15" ht="30" x14ac:dyDescent="0.25">
      <c r="A162" s="324" t="str" cm="1">
        <f t="array" aca="1" ref="A162" ca="1">HYPERLINK(CELL("адрес",НалПрибыль!A27),"источник")</f>
        <v>источник</v>
      </c>
      <c r="B162" s="652" t="s">
        <v>842</v>
      </c>
      <c r="C162" s="655"/>
      <c r="D162" s="231">
        <f t="shared" ref="D162:D164" ca="1" si="17">SUM(F162:O162)</f>
        <v>14745.486021049259</v>
      </c>
      <c r="E162" s="71"/>
      <c r="F162" s="231">
        <f ca="1">НалПрибыль!F27</f>
        <v>-165.07760000000002</v>
      </c>
      <c r="G162" s="231">
        <f ca="1">НалПрибыль!G27</f>
        <v>-284.50106240000002</v>
      </c>
      <c r="H162" s="231">
        <f ca="1">НалПрибыль!H27</f>
        <v>-546.0338322006096</v>
      </c>
      <c r="I162" s="231">
        <f ca="1">НалПрибыль!I27</f>
        <v>785.84430861211706</v>
      </c>
      <c r="J162" s="231">
        <f ca="1">НалПрибыль!J27</f>
        <v>890.57614757062049</v>
      </c>
      <c r="K162" s="231">
        <f ca="1">НалПрибыль!K27</f>
        <v>1069.3912555174609</v>
      </c>
      <c r="L162" s="231">
        <f ca="1">НалПрибыль!L27</f>
        <v>1236.4022709199239</v>
      </c>
      <c r="M162" s="231">
        <f ca="1">НалПрибыль!M27</f>
        <v>1334.9778511161865</v>
      </c>
      <c r="N162" s="231">
        <f ca="1">НалПрибыль!N27</f>
        <v>5028.3261603710271</v>
      </c>
      <c r="O162" s="231">
        <f ca="1">НалПрибыль!O27</f>
        <v>5395.5805215425326</v>
      </c>
    </row>
    <row r="163" spans="1:15" ht="30" x14ac:dyDescent="0.25">
      <c r="A163" s="324" t="str" cm="1">
        <f t="array" aca="1" ref="A163" ca="1">HYPERLINK(CELL("адрес",БДР!B27),"источник")</f>
        <v>источник</v>
      </c>
      <c r="B163" s="652" t="s">
        <v>841</v>
      </c>
      <c r="C163" s="655"/>
      <c r="D163" s="231">
        <f t="shared" ca="1" si="17"/>
        <v>-14745.486021049259</v>
      </c>
      <c r="E163" s="71"/>
      <c r="F163" s="231">
        <f ca="1">БДР!F27</f>
        <v>165.07760000000002</v>
      </c>
      <c r="G163" s="231">
        <f ca="1">БДР!G27</f>
        <v>284.50106240000002</v>
      </c>
      <c r="H163" s="231">
        <f ca="1">БДР!H27</f>
        <v>546.0338322006096</v>
      </c>
      <c r="I163" s="231">
        <f ca="1">БДР!I27</f>
        <v>-785.84430861211706</v>
      </c>
      <c r="J163" s="231">
        <f ca="1">БДР!J27</f>
        <v>-890.57614757062049</v>
      </c>
      <c r="K163" s="231">
        <f ca="1">БДР!K27</f>
        <v>-1069.3912555174609</v>
      </c>
      <c r="L163" s="231">
        <f ca="1">БДР!L27</f>
        <v>-1236.4022709199239</v>
      </c>
      <c r="M163" s="231">
        <f ca="1">БДР!M27</f>
        <v>-1334.9778511161865</v>
      </c>
      <c r="N163" s="231">
        <f ca="1">БДР!N27</f>
        <v>-5028.3261603710271</v>
      </c>
      <c r="O163" s="231">
        <f ca="1">БДР!O27</f>
        <v>-5395.5805215425326</v>
      </c>
    </row>
    <row r="164" spans="1:15" ht="30" x14ac:dyDescent="0.25">
      <c r="A164" s="324" t="str" cm="1">
        <f t="array" aca="1" ref="A164" ca="1">HYPERLINK(CELL("адрес",БДДС!B22),"источник")</f>
        <v>источник</v>
      </c>
      <c r="B164" s="652" t="s">
        <v>849</v>
      </c>
      <c r="C164" s="655"/>
      <c r="D164" s="231">
        <f t="shared" ca="1" si="17"/>
        <v>-14745.486021049259</v>
      </c>
      <c r="E164" s="71"/>
      <c r="F164" s="231">
        <f ca="1">БДДС!F22</f>
        <v>165.07760000000002</v>
      </c>
      <c r="G164" s="231">
        <f ca="1">БДДС!G22</f>
        <v>284.50106240000002</v>
      </c>
      <c r="H164" s="231">
        <f ca="1">БДДС!H22</f>
        <v>546.0338322006096</v>
      </c>
      <c r="I164" s="231">
        <f ca="1">БДДС!I22</f>
        <v>-785.84430861211706</v>
      </c>
      <c r="J164" s="231">
        <f ca="1">БДДС!J22</f>
        <v>-890.57614757062049</v>
      </c>
      <c r="K164" s="231">
        <f ca="1">БДДС!K22</f>
        <v>-1069.3912555174609</v>
      </c>
      <c r="L164" s="231">
        <f ca="1">БДДС!L22</f>
        <v>-1236.4022709199239</v>
      </c>
      <c r="M164" s="231">
        <f ca="1">БДДС!M22</f>
        <v>-1334.9778511161865</v>
      </c>
      <c r="N164" s="231">
        <f ca="1">БДДС!N22</f>
        <v>-5028.3261603710271</v>
      </c>
      <c r="O164" s="231">
        <f ca="1">БДДС!O22</f>
        <v>-5395.5805215425326</v>
      </c>
    </row>
    <row r="165" spans="1:15" x14ac:dyDescent="0.25">
      <c r="A165" s="324"/>
      <c r="B165" s="652"/>
      <c r="C165" s="655"/>
      <c r="D165" s="231"/>
      <c r="E165" s="7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</row>
    <row r="166" spans="1:15" x14ac:dyDescent="0.25">
      <c r="A166" s="324"/>
      <c r="B166" s="652"/>
      <c r="C166" s="655"/>
      <c r="D166" s="231"/>
      <c r="E166" s="7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</row>
    <row r="167" spans="1:15" x14ac:dyDescent="0.25">
      <c r="A167" s="324" t="str" cm="1">
        <f t="array" aca="1" ref="A167" ca="1">HYPERLINK(CELL("адрес",Выручка!A10),"источник")</f>
        <v>источник</v>
      </c>
      <c r="B167" s="652" t="s">
        <v>844</v>
      </c>
      <c r="C167" s="655"/>
      <c r="D167" s="231">
        <f t="shared" ref="D167:D168" si="18">SUM(F167:O167)</f>
        <v>1115728.2590691657</v>
      </c>
      <c r="E167" s="71"/>
      <c r="F167" s="231">
        <f>Выручка!F10</f>
        <v>0</v>
      </c>
      <c r="G167" s="231">
        <f>Выручка!G10</f>
        <v>0</v>
      </c>
      <c r="H167" s="231">
        <f>Выручка!H10</f>
        <v>46236</v>
      </c>
      <c r="I167" s="231">
        <f>Выручка!I10</f>
        <v>135408</v>
      </c>
      <c r="J167" s="231">
        <f>Выручка!J10</f>
        <v>140824.32000000004</v>
      </c>
      <c r="K167" s="231">
        <f>Выручка!K10</f>
        <v>146457.29280000002</v>
      </c>
      <c r="L167" s="231">
        <f>Выручка!L10</f>
        <v>152315.584512</v>
      </c>
      <c r="M167" s="231">
        <f>Выручка!M10</f>
        <v>158408.20789248002</v>
      </c>
      <c r="N167" s="231">
        <f>Выручка!N10</f>
        <v>164744.5362081792</v>
      </c>
      <c r="O167" s="231">
        <f>Выручка!O10</f>
        <v>171334.31765650638</v>
      </c>
    </row>
    <row r="168" spans="1:15" x14ac:dyDescent="0.25">
      <c r="A168" s="324" t="str" cm="1">
        <f t="array" aca="1" ref="A168" ca="1">HYPERLINK(CELL("адрес",БДДС!B8),"источник")</f>
        <v>источник</v>
      </c>
      <c r="B168" s="652" t="s">
        <v>843</v>
      </c>
      <c r="C168" s="655"/>
      <c r="D168" s="231">
        <f t="shared" si="18"/>
        <v>1115728.2590691657</v>
      </c>
      <c r="E168" s="71"/>
      <c r="F168" s="231">
        <f>БДДС!F8</f>
        <v>0</v>
      </c>
      <c r="G168" s="231">
        <f>БДДС!G8</f>
        <v>0</v>
      </c>
      <c r="H168" s="231">
        <f>БДДС!H8</f>
        <v>46236</v>
      </c>
      <c r="I168" s="231">
        <f>БДДС!I8</f>
        <v>135408</v>
      </c>
      <c r="J168" s="231">
        <f>БДДС!J8</f>
        <v>140824.32000000004</v>
      </c>
      <c r="K168" s="231">
        <f>БДДС!K8</f>
        <v>146457.29280000002</v>
      </c>
      <c r="L168" s="231">
        <f>БДДС!L8</f>
        <v>152315.584512</v>
      </c>
      <c r="M168" s="231">
        <f>БДДС!M8</f>
        <v>158408.20789248002</v>
      </c>
      <c r="N168" s="231">
        <f>БДДС!N8</f>
        <v>164744.5362081792</v>
      </c>
      <c r="O168" s="231">
        <f>БДДС!O8</f>
        <v>171334.31765650638</v>
      </c>
    </row>
    <row r="169" spans="1:15" x14ac:dyDescent="0.25">
      <c r="A169" s="324"/>
      <c r="B169" s="652"/>
      <c r="C169" s="655"/>
      <c r="D169" s="231"/>
      <c r="E169" s="7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</row>
    <row r="170" spans="1:15" x14ac:dyDescent="0.25">
      <c r="A170" s="324"/>
      <c r="B170" s="652"/>
      <c r="C170" s="655"/>
      <c r="D170" s="231"/>
      <c r="E170" s="7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</row>
    <row r="171" spans="1:15" ht="30" x14ac:dyDescent="0.25">
      <c r="A171" s="324" t="str" cm="1">
        <f t="array" aca="1" ref="A171" ca="1">HYPERLINK(CELL("адрес",ПрочДоходы!A5),"источник")</f>
        <v>источник</v>
      </c>
      <c r="B171" s="652" t="s">
        <v>833</v>
      </c>
      <c r="C171" s="655"/>
      <c r="D171" s="231">
        <f t="shared" ref="D171:D173" si="19">SUM(F171:O171)</f>
        <v>560</v>
      </c>
      <c r="E171" s="71"/>
      <c r="F171" s="231">
        <f>ПрочДоходы!F5</f>
        <v>0</v>
      </c>
      <c r="G171" s="231">
        <f>ПрочДоходы!G5</f>
        <v>0</v>
      </c>
      <c r="H171" s="231">
        <f>ПрочДоходы!H5</f>
        <v>70</v>
      </c>
      <c r="I171" s="231">
        <f>ПрочДоходы!I5</f>
        <v>70</v>
      </c>
      <c r="J171" s="231">
        <f>ПрочДоходы!J5</f>
        <v>70</v>
      </c>
      <c r="K171" s="231">
        <f>ПрочДоходы!K5</f>
        <v>70</v>
      </c>
      <c r="L171" s="231">
        <f>ПрочДоходы!L5</f>
        <v>70</v>
      </c>
      <c r="M171" s="231">
        <f>ПрочДоходы!M5</f>
        <v>70</v>
      </c>
      <c r="N171" s="231">
        <f>ПрочДоходы!N5</f>
        <v>70</v>
      </c>
      <c r="O171" s="231">
        <f>ПрочДоходы!O5</f>
        <v>70</v>
      </c>
    </row>
    <row r="172" spans="1:15" x14ac:dyDescent="0.25">
      <c r="A172" s="324" t="str" cm="1">
        <f t="array" aca="1" ref="A172" ca="1">HYPERLINK(CELL("адрес",БДР!B21),"источник")</f>
        <v>источник</v>
      </c>
      <c r="B172" s="652" t="s">
        <v>830</v>
      </c>
      <c r="C172" s="655"/>
      <c r="D172" s="231">
        <f t="shared" si="19"/>
        <v>560</v>
      </c>
      <c r="E172" s="71"/>
      <c r="F172" s="231">
        <f>БДР!F21</f>
        <v>0</v>
      </c>
      <c r="G172" s="231">
        <f>БДР!G21</f>
        <v>0</v>
      </c>
      <c r="H172" s="231">
        <f>БДР!H21</f>
        <v>70</v>
      </c>
      <c r="I172" s="231">
        <f>БДР!I21</f>
        <v>70</v>
      </c>
      <c r="J172" s="231">
        <f>БДР!J21</f>
        <v>70</v>
      </c>
      <c r="K172" s="231">
        <f>БДР!K21</f>
        <v>70</v>
      </c>
      <c r="L172" s="231">
        <f>БДР!L21</f>
        <v>70</v>
      </c>
      <c r="M172" s="231">
        <f>БДР!M21</f>
        <v>70</v>
      </c>
      <c r="N172" s="231">
        <f>БДР!N21</f>
        <v>70</v>
      </c>
      <c r="O172" s="231">
        <f>БДР!O21</f>
        <v>70</v>
      </c>
    </row>
    <row r="173" spans="1:15" ht="30" x14ac:dyDescent="0.25">
      <c r="A173" s="324" t="str" cm="1">
        <f t="array" aca="1" ref="A173" ca="1">HYPERLINK(CELL("адрес",БДДС!B9),"источник")</f>
        <v>источник</v>
      </c>
      <c r="B173" s="652" t="s">
        <v>845</v>
      </c>
      <c r="C173" s="655"/>
      <c r="D173" s="231">
        <f t="shared" si="19"/>
        <v>560</v>
      </c>
      <c r="E173" s="71"/>
      <c r="F173" s="231">
        <f>БДДС!F9</f>
        <v>0</v>
      </c>
      <c r="G173" s="231">
        <f>БДДС!G9</f>
        <v>0</v>
      </c>
      <c r="H173" s="231">
        <f>БДДС!H9</f>
        <v>70</v>
      </c>
      <c r="I173" s="231">
        <f>БДДС!I9</f>
        <v>70</v>
      </c>
      <c r="J173" s="231">
        <f>БДДС!J9</f>
        <v>70</v>
      </c>
      <c r="K173" s="231">
        <f>БДДС!K9</f>
        <v>70</v>
      </c>
      <c r="L173" s="231">
        <f>БДДС!L9</f>
        <v>70</v>
      </c>
      <c r="M173" s="231">
        <f>БДДС!M9</f>
        <v>70</v>
      </c>
      <c r="N173" s="231">
        <f>БДДС!N9</f>
        <v>70</v>
      </c>
      <c r="O173" s="231">
        <f>БДДС!O9</f>
        <v>70</v>
      </c>
    </row>
    <row r="174" spans="1:15" x14ac:dyDescent="0.25">
      <c r="A174" s="324"/>
      <c r="B174" s="652"/>
      <c r="C174" s="655"/>
      <c r="D174" s="231"/>
      <c r="E174" s="7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</row>
    <row r="175" spans="1:15" x14ac:dyDescent="0.25">
      <c r="A175" s="324"/>
      <c r="B175" s="652"/>
      <c r="C175" s="655"/>
      <c r="D175" s="231"/>
      <c r="E175" s="7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</row>
    <row r="176" spans="1:15" ht="30" x14ac:dyDescent="0.25">
      <c r="A176" s="324" t="str" cm="1">
        <f t="array" aca="1" ref="A176" ca="1">HYPERLINK(CELL("адрес",НДС!A16),"источник")</f>
        <v>источник</v>
      </c>
      <c r="B176" s="652" t="s">
        <v>861</v>
      </c>
      <c r="C176" s="655"/>
      <c r="D176" s="231">
        <f t="shared" ref="D176:D177" si="20">SUM(F176:O176)</f>
        <v>151341.13891795586</v>
      </c>
      <c r="E176" s="71"/>
      <c r="F176" s="231">
        <f>НДС!F16</f>
        <v>-1027</v>
      </c>
      <c r="G176" s="231">
        <f>НДС!G16</f>
        <v>-1066.3600000000001</v>
      </c>
      <c r="H176" s="231">
        <f>НДС!H16</f>
        <v>5444.5947500000002</v>
      </c>
      <c r="I176" s="231">
        <f>НДС!I16</f>
        <v>18647.995422499996</v>
      </c>
      <c r="J176" s="231">
        <f>НДС!J16</f>
        <v>19417.779463262505</v>
      </c>
      <c r="K176" s="231">
        <f>НДС!K16</f>
        <v>20218.861471252065</v>
      </c>
      <c r="L176" s="231">
        <f>НДС!L16</f>
        <v>21066.699430428045</v>
      </c>
      <c r="M176" s="231">
        <f>НДС!M16</f>
        <v>21948.983160475953</v>
      </c>
      <c r="N176" s="231">
        <f>НДС!N16</f>
        <v>22867.098476018244</v>
      </c>
      <c r="O176" s="231">
        <f>НДС!O16</f>
        <v>23822.486744019072</v>
      </c>
    </row>
    <row r="177" spans="1:15" ht="30" x14ac:dyDescent="0.25">
      <c r="A177" s="324" t="str" cm="1">
        <f t="array" aca="1" ref="A177" ca="1">HYPERLINK(CELL("адрес",БДДС!B20),"источник")</f>
        <v>источник</v>
      </c>
      <c r="B177" s="652" t="s">
        <v>860</v>
      </c>
      <c r="C177" s="655"/>
      <c r="D177" s="231">
        <f t="shared" si="20"/>
        <v>-151341.13891795586</v>
      </c>
      <c r="E177" s="71"/>
      <c r="F177" s="231">
        <f>БДДС!F20</f>
        <v>1027</v>
      </c>
      <c r="G177" s="231">
        <f>БДДС!G20</f>
        <v>1066.3600000000001</v>
      </c>
      <c r="H177" s="231">
        <f>БДДС!H20</f>
        <v>-5444.5947500000002</v>
      </c>
      <c r="I177" s="231">
        <f>БДДС!I20</f>
        <v>-18647.995422499996</v>
      </c>
      <c r="J177" s="231">
        <f>БДДС!J20</f>
        <v>-19417.779463262505</v>
      </c>
      <c r="K177" s="231">
        <f>БДДС!K20</f>
        <v>-20218.861471252065</v>
      </c>
      <c r="L177" s="231">
        <f>БДДС!L20</f>
        <v>-21066.699430428045</v>
      </c>
      <c r="M177" s="231">
        <f>БДДС!M20</f>
        <v>-21948.983160475953</v>
      </c>
      <c r="N177" s="231">
        <f>БДДС!N20</f>
        <v>-22867.098476018244</v>
      </c>
      <c r="O177" s="231">
        <f>БДДС!O20</f>
        <v>-23822.486744019072</v>
      </c>
    </row>
    <row r="178" spans="1:15" x14ac:dyDescent="0.25">
      <c r="A178" s="324"/>
      <c r="B178" s="652"/>
      <c r="C178" s="655"/>
      <c r="D178" s="231"/>
      <c r="E178" s="7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</row>
    <row r="179" spans="1:15" x14ac:dyDescent="0.25">
      <c r="A179" s="324"/>
      <c r="B179" s="652"/>
      <c r="C179" s="655"/>
      <c r="D179" s="231"/>
      <c r="E179" s="7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</row>
    <row r="180" spans="1:15" ht="30" x14ac:dyDescent="0.25">
      <c r="A180" s="324" t="str" cm="1">
        <f t="array" aca="1" ref="A180" ca="1">HYPERLINK(CELL("адрес",Инвестиции!A8),"источник")</f>
        <v>источник</v>
      </c>
      <c r="B180" s="652" t="s">
        <v>863</v>
      </c>
      <c r="C180" s="655"/>
      <c r="D180" s="231">
        <f t="shared" ref="D180:D181" si="21">SUM(F180:O180)</f>
        <v>15000.000000000002</v>
      </c>
      <c r="E180" s="71"/>
      <c r="F180" s="231">
        <f>Инвестиции!F8</f>
        <v>3666.6666666666674</v>
      </c>
      <c r="G180" s="231">
        <f>Инвестиции!G8</f>
        <v>11333.333333333334</v>
      </c>
      <c r="H180" s="231">
        <f>Инвестиции!H8</f>
        <v>0</v>
      </c>
      <c r="I180" s="231">
        <f>Инвестиции!I8</f>
        <v>0</v>
      </c>
      <c r="J180" s="231">
        <f>Инвестиции!J8</f>
        <v>0</v>
      </c>
      <c r="K180" s="231">
        <f>Инвестиции!K8</f>
        <v>0</v>
      </c>
      <c r="L180" s="231">
        <f>Инвестиции!L8</f>
        <v>0</v>
      </c>
      <c r="M180" s="231">
        <f>Инвестиции!M8</f>
        <v>0</v>
      </c>
      <c r="N180" s="231">
        <f>Инвестиции!N8</f>
        <v>0</v>
      </c>
      <c r="O180" s="231">
        <f>Инвестиции!O8</f>
        <v>0</v>
      </c>
    </row>
    <row r="181" spans="1:15" ht="30" x14ac:dyDescent="0.25">
      <c r="A181" s="324" t="str" cm="1">
        <f t="array" aca="1" ref="A181" ca="1">HYPERLINK(CELL("адрес",БДДС!B32),"источник")</f>
        <v>источник</v>
      </c>
      <c r="B181" s="652" t="s">
        <v>862</v>
      </c>
      <c r="C181" s="655"/>
      <c r="D181" s="231">
        <f t="shared" si="21"/>
        <v>15000.000000000002</v>
      </c>
      <c r="E181" s="71"/>
      <c r="F181" s="231">
        <f>БДДС!F32</f>
        <v>3666.6666666666674</v>
      </c>
      <c r="G181" s="231">
        <f>БДДС!G32</f>
        <v>11333.333333333334</v>
      </c>
      <c r="H181" s="231">
        <f>БДДС!H32</f>
        <v>0</v>
      </c>
      <c r="I181" s="231">
        <f>БДДС!I32</f>
        <v>0</v>
      </c>
      <c r="J181" s="231">
        <f>БДДС!J32</f>
        <v>0</v>
      </c>
      <c r="K181" s="231">
        <f>БДДС!K32</f>
        <v>0</v>
      </c>
      <c r="L181" s="231">
        <f>БДДС!L32</f>
        <v>0</v>
      </c>
      <c r="M181" s="231">
        <f>БДДС!M32</f>
        <v>0</v>
      </c>
      <c r="N181" s="231">
        <f>БДДС!N32</f>
        <v>0</v>
      </c>
      <c r="O181" s="231">
        <f>БДДС!O32</f>
        <v>0</v>
      </c>
    </row>
    <row r="182" spans="1:15" x14ac:dyDescent="0.25">
      <c r="A182" s="324"/>
      <c r="B182" s="652"/>
      <c r="C182" s="655"/>
      <c r="D182" s="231"/>
      <c r="E182" s="7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</row>
    <row r="183" spans="1:15" x14ac:dyDescent="0.25">
      <c r="A183" s="324"/>
      <c r="B183" s="652"/>
      <c r="C183" s="655"/>
      <c r="D183" s="231"/>
      <c r="E183" s="7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</row>
    <row r="184" spans="1:15" ht="30" x14ac:dyDescent="0.25">
      <c r="A184" s="324" t="str" cm="1">
        <f t="array" aca="1" ref="A184" ca="1">HYPERLINK(CELL("адрес",Инвестиции!A7),"источник")</f>
        <v>источник</v>
      </c>
      <c r="B184" s="652" t="s">
        <v>865</v>
      </c>
      <c r="C184" s="655"/>
      <c r="D184" s="231">
        <f t="shared" ref="D184:D185" si="22">SUM(F184:O184)</f>
        <v>90000</v>
      </c>
      <c r="E184" s="71"/>
      <c r="F184" s="231">
        <f>Инвестиции!F7</f>
        <v>22000</v>
      </c>
      <c r="G184" s="231">
        <f>Инвестиции!G7</f>
        <v>68000</v>
      </c>
      <c r="H184" s="231">
        <f>Инвестиции!H7</f>
        <v>0</v>
      </c>
      <c r="I184" s="231">
        <f>Инвестиции!I7</f>
        <v>0</v>
      </c>
      <c r="J184" s="231">
        <f>Инвестиции!J7</f>
        <v>0</v>
      </c>
      <c r="K184" s="231">
        <f>Инвестиции!K7</f>
        <v>0</v>
      </c>
      <c r="L184" s="231">
        <f>Инвестиции!L7</f>
        <v>0</v>
      </c>
      <c r="M184" s="231">
        <f>Инвестиции!M7</f>
        <v>0</v>
      </c>
      <c r="N184" s="231">
        <f>Инвестиции!N7</f>
        <v>0</v>
      </c>
      <c r="O184" s="231">
        <f>Инвестиции!O7</f>
        <v>0</v>
      </c>
    </row>
    <row r="185" spans="1:15" x14ac:dyDescent="0.25">
      <c r="A185" s="324" t="str" cm="1">
        <f t="array" aca="1" ref="A185" ca="1">HYPERLINK(CELL("адрес",БДДС!B35),"источник")</f>
        <v>источник</v>
      </c>
      <c r="B185" s="652" t="s">
        <v>864</v>
      </c>
      <c r="C185" s="655"/>
      <c r="D185" s="231">
        <f t="shared" si="22"/>
        <v>-90000</v>
      </c>
      <c r="E185" s="71"/>
      <c r="F185" s="231">
        <f>БДДС!F35</f>
        <v>-22000</v>
      </c>
      <c r="G185" s="231">
        <f>БДДС!G35</f>
        <v>-68000</v>
      </c>
      <c r="H185" s="231">
        <f>БДДС!H35</f>
        <v>0</v>
      </c>
      <c r="I185" s="231">
        <f>БДДС!I35</f>
        <v>0</v>
      </c>
      <c r="J185" s="231">
        <f>БДДС!J35</f>
        <v>0</v>
      </c>
      <c r="K185" s="231">
        <f>БДДС!K35</f>
        <v>0</v>
      </c>
      <c r="L185" s="231">
        <f>БДДС!L35</f>
        <v>0</v>
      </c>
      <c r="M185" s="231">
        <f>БДДС!M35</f>
        <v>0</v>
      </c>
      <c r="N185" s="231">
        <f>БДДС!N35</f>
        <v>0</v>
      </c>
      <c r="O185" s="231">
        <f>БДДС!O35</f>
        <v>0</v>
      </c>
    </row>
    <row r="186" spans="1:15" x14ac:dyDescent="0.25">
      <c r="A186" s="324"/>
      <c r="B186" s="652"/>
      <c r="C186" s="655"/>
      <c r="D186" s="231"/>
      <c r="E186" s="7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</row>
    <row r="187" spans="1:15" x14ac:dyDescent="0.25">
      <c r="A187" s="324"/>
      <c r="B187" s="652"/>
      <c r="C187" s="655"/>
      <c r="D187" s="231"/>
      <c r="E187" s="7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</row>
    <row r="188" spans="1:15" ht="45" x14ac:dyDescent="0.25">
      <c r="A188" s="324" t="str" cm="1">
        <f t="array" aca="1" ref="A188" ca="1">HYPERLINK(CELL("адрес",Финансы!A7),"источник")</f>
        <v>источник</v>
      </c>
      <c r="B188" s="652" t="s">
        <v>867</v>
      </c>
      <c r="C188" s="655"/>
      <c r="D188" s="231">
        <f t="shared" ref="D188:D189" si="23">SUM(F188:O188)</f>
        <v>30000</v>
      </c>
      <c r="E188" s="71"/>
      <c r="F188" s="231">
        <f>Финансы!F7</f>
        <v>30000</v>
      </c>
      <c r="G188" s="231">
        <f>Финансы!G7</f>
        <v>0</v>
      </c>
      <c r="H188" s="231">
        <f>Финансы!H7</f>
        <v>0</v>
      </c>
      <c r="I188" s="231">
        <f>Финансы!I7</f>
        <v>0</v>
      </c>
      <c r="J188" s="231">
        <f>Финансы!J7</f>
        <v>0</v>
      </c>
      <c r="K188" s="231">
        <f>Финансы!K7</f>
        <v>0</v>
      </c>
      <c r="L188" s="231">
        <f>Финансы!L7</f>
        <v>0</v>
      </c>
      <c r="M188" s="231">
        <f>Финансы!M7</f>
        <v>0</v>
      </c>
      <c r="N188" s="231">
        <f>Финансы!N7</f>
        <v>0</v>
      </c>
      <c r="O188" s="231">
        <f>Финансы!O7</f>
        <v>0</v>
      </c>
    </row>
    <row r="189" spans="1:15" ht="30" x14ac:dyDescent="0.25">
      <c r="A189" s="324" t="str" cm="1">
        <f t="array" aca="1" ref="A189" ca="1">HYPERLINK(CELL("адрес",БДДС!B42),"источник")</f>
        <v>источник</v>
      </c>
      <c r="B189" s="652" t="s">
        <v>866</v>
      </c>
      <c r="C189" s="655"/>
      <c r="D189" s="231">
        <f t="shared" si="23"/>
        <v>30000</v>
      </c>
      <c r="E189" s="71"/>
      <c r="F189" s="231">
        <f>БДДС!F42</f>
        <v>30000</v>
      </c>
      <c r="G189" s="231">
        <f>БДДС!G42</f>
        <v>0</v>
      </c>
      <c r="H189" s="231">
        <f>БДДС!H42</f>
        <v>0</v>
      </c>
      <c r="I189" s="231">
        <f>БДДС!I42</f>
        <v>0</v>
      </c>
      <c r="J189" s="231">
        <f>БДДС!J42</f>
        <v>0</v>
      </c>
      <c r="K189" s="231">
        <f>БДДС!K42</f>
        <v>0</v>
      </c>
      <c r="L189" s="231">
        <f>БДДС!L42</f>
        <v>0</v>
      </c>
      <c r="M189" s="231">
        <f>БДДС!M42</f>
        <v>0</v>
      </c>
      <c r="N189" s="231">
        <f>БДДС!N42</f>
        <v>0</v>
      </c>
      <c r="O189" s="231">
        <f>БДДС!O42</f>
        <v>0</v>
      </c>
    </row>
    <row r="190" spans="1:15" x14ac:dyDescent="0.25">
      <c r="A190" s="324"/>
      <c r="B190" s="652"/>
      <c r="C190" s="655"/>
      <c r="D190" s="231"/>
      <c r="E190" s="7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</row>
    <row r="191" spans="1:15" x14ac:dyDescent="0.25">
      <c r="A191" s="324"/>
      <c r="B191" s="652"/>
      <c r="C191" s="655"/>
      <c r="D191" s="231"/>
      <c r="E191" s="7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</row>
    <row r="192" spans="1:15" ht="30" x14ac:dyDescent="0.25">
      <c r="A192" s="324" t="str" cm="1">
        <f t="array" aca="1" ref="A192" ca="1">HYPERLINK(CELL("адрес",Финансы!A22),"источник")</f>
        <v>источник</v>
      </c>
      <c r="B192" s="652" t="s">
        <v>869</v>
      </c>
      <c r="C192" s="655"/>
      <c r="D192" s="231">
        <f t="shared" ref="D192:D193" ca="1" si="24">SUM(F192:O192)</f>
        <v>95000</v>
      </c>
      <c r="E192" s="71"/>
      <c r="F192" s="231">
        <f ca="1">Финансы!F22</f>
        <v>0</v>
      </c>
      <c r="G192" s="231">
        <f ca="1">Финансы!G22</f>
        <v>95000</v>
      </c>
      <c r="H192" s="231">
        <f ca="1">Финансы!H22</f>
        <v>0</v>
      </c>
      <c r="I192" s="231">
        <f ca="1">Финансы!I22</f>
        <v>0</v>
      </c>
      <c r="J192" s="231">
        <f ca="1">Финансы!J22</f>
        <v>0</v>
      </c>
      <c r="K192" s="231">
        <f ca="1">Финансы!K22</f>
        <v>0</v>
      </c>
      <c r="L192" s="231">
        <f ca="1">Финансы!L22</f>
        <v>0</v>
      </c>
      <c r="M192" s="231">
        <f ca="1">Финансы!M22</f>
        <v>0</v>
      </c>
      <c r="N192" s="231">
        <f ca="1">Финансы!N22</f>
        <v>0</v>
      </c>
      <c r="O192" s="231">
        <f ca="1">Финансы!O22</f>
        <v>0</v>
      </c>
    </row>
    <row r="193" spans="1:15" ht="30" x14ac:dyDescent="0.25">
      <c r="A193" s="324" t="str" cm="1">
        <f t="array" aca="1" ref="A193" ca="1">HYPERLINK(CELL("адрес",БДДС!B45),"источник")</f>
        <v>источник</v>
      </c>
      <c r="B193" s="652" t="s">
        <v>868</v>
      </c>
      <c r="C193" s="655"/>
      <c r="D193" s="231">
        <f t="shared" si="24"/>
        <v>95000</v>
      </c>
      <c r="E193" s="71"/>
      <c r="F193" s="231">
        <f>БДДС!F45</f>
        <v>0</v>
      </c>
      <c r="G193" s="231">
        <f>БДДС!G45</f>
        <v>95000</v>
      </c>
      <c r="H193" s="231">
        <f>БДДС!H45</f>
        <v>0</v>
      </c>
      <c r="I193" s="231">
        <f>БДДС!I45</f>
        <v>0</v>
      </c>
      <c r="J193" s="231">
        <f>БДДС!J45</f>
        <v>0</v>
      </c>
      <c r="K193" s="231">
        <f>БДДС!K45</f>
        <v>0</v>
      </c>
      <c r="L193" s="231">
        <f>БДДС!L45</f>
        <v>0</v>
      </c>
      <c r="M193" s="231">
        <f>БДДС!M45</f>
        <v>0</v>
      </c>
      <c r="N193" s="231">
        <f>БДДС!N45</f>
        <v>0</v>
      </c>
      <c r="O193" s="231">
        <f>БДДС!O45</f>
        <v>0</v>
      </c>
    </row>
    <row r="194" spans="1:15" x14ac:dyDescent="0.25">
      <c r="A194" s="324"/>
      <c r="B194" s="652"/>
      <c r="C194" s="655"/>
      <c r="D194" s="231"/>
      <c r="E194" s="7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</row>
    <row r="195" spans="1:15" x14ac:dyDescent="0.25">
      <c r="A195" s="324"/>
      <c r="B195" s="652"/>
      <c r="C195" s="655"/>
      <c r="D195" s="231"/>
      <c r="E195" s="7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</row>
    <row r="196" spans="1:15" ht="30" x14ac:dyDescent="0.25">
      <c r="A196" s="324" t="str" cm="1">
        <f t="array" aca="1" ref="A196" ca="1">HYPERLINK(CELL("адрес",Финансы!A23),"источник")</f>
        <v>источник</v>
      </c>
      <c r="B196" s="652" t="s">
        <v>871</v>
      </c>
      <c r="C196" s="655"/>
      <c r="D196" s="231">
        <f t="shared" ref="D196" ca="1" si="25">SUM(F196:O196)</f>
        <v>95000</v>
      </c>
      <c r="E196" s="71"/>
      <c r="F196" s="231">
        <f ca="1">Финансы!F23</f>
        <v>0</v>
      </c>
      <c r="G196" s="231">
        <f ca="1">Финансы!G23</f>
        <v>0</v>
      </c>
      <c r="H196" s="231">
        <f ca="1">Финансы!H23</f>
        <v>11875</v>
      </c>
      <c r="I196" s="231">
        <f ca="1">Финансы!I23</f>
        <v>11875</v>
      </c>
      <c r="J196" s="231">
        <f ca="1">Финансы!J23</f>
        <v>11875</v>
      </c>
      <c r="K196" s="231">
        <f ca="1">Финансы!K23</f>
        <v>11875</v>
      </c>
      <c r="L196" s="231">
        <f ca="1">Финансы!L23</f>
        <v>11875</v>
      </c>
      <c r="M196" s="231">
        <f ca="1">Финансы!M23</f>
        <v>11875</v>
      </c>
      <c r="N196" s="231">
        <f ca="1">Финансы!N23</f>
        <v>11875</v>
      </c>
      <c r="O196" s="231">
        <f ca="1">Финансы!O23</f>
        <v>11875</v>
      </c>
    </row>
    <row r="197" spans="1:15" ht="30" x14ac:dyDescent="0.25">
      <c r="A197" s="324" t="str" cm="1">
        <f t="array" aca="1" ref="A197" ca="1">HYPERLINK(CELL("адрес",БДДС!B48),"источник")</f>
        <v>источник</v>
      </c>
      <c r="B197" s="652" t="s">
        <v>870</v>
      </c>
      <c r="C197" s="655"/>
      <c r="D197" s="231">
        <f t="shared" ref="D197" si="26">SUM(F197:O197)</f>
        <v>-95000</v>
      </c>
      <c r="E197" s="71"/>
      <c r="F197" s="231">
        <f>БДДС!F48</f>
        <v>0</v>
      </c>
      <c r="G197" s="231">
        <f>БДДС!G48</f>
        <v>0</v>
      </c>
      <c r="H197" s="231">
        <f>БДДС!H48</f>
        <v>-11875</v>
      </c>
      <c r="I197" s="231">
        <f>БДДС!I48</f>
        <v>-11875</v>
      </c>
      <c r="J197" s="231">
        <f>БДДС!J48</f>
        <v>-11875</v>
      </c>
      <c r="K197" s="231">
        <f>БДДС!K48</f>
        <v>-11875</v>
      </c>
      <c r="L197" s="231">
        <f>БДДС!L48</f>
        <v>-11875</v>
      </c>
      <c r="M197" s="231">
        <f>БДДС!M48</f>
        <v>-11875</v>
      </c>
      <c r="N197" s="231">
        <f>БДДС!N48</f>
        <v>-11875</v>
      </c>
      <c r="O197" s="231">
        <f>БДДС!O48</f>
        <v>-11875</v>
      </c>
    </row>
    <row r="198" spans="1:15" x14ac:dyDescent="0.25">
      <c r="A198" s="324"/>
      <c r="B198" s="652"/>
      <c r="C198" s="655"/>
      <c r="D198" s="231"/>
      <c r="E198" s="7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</row>
    <row r="199" spans="1:15" x14ac:dyDescent="0.25">
      <c r="A199" s="324"/>
      <c r="B199" s="652"/>
      <c r="C199" s="655"/>
      <c r="D199" s="231"/>
      <c r="E199" s="7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</row>
    <row r="200" spans="1:15" x14ac:dyDescent="0.25">
      <c r="A200" s="324"/>
      <c r="B200" s="652"/>
      <c r="C200" s="655"/>
      <c r="D200" s="231"/>
      <c r="E200" s="7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</row>
    <row r="201" spans="1:15" x14ac:dyDescent="0.25">
      <c r="A201" s="324"/>
      <c r="B201" s="652"/>
      <c r="C201" s="655"/>
      <c r="D201" s="231"/>
      <c r="E201" s="7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</row>
    <row r="202" spans="1:15" x14ac:dyDescent="0.25">
      <c r="A202" s="324"/>
      <c r="B202" s="652"/>
      <c r="C202" s="655"/>
      <c r="D202" s="231"/>
      <c r="E202" s="7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</row>
    <row r="203" spans="1:15" x14ac:dyDescent="0.25">
      <c r="A203" s="324"/>
      <c r="B203" s="652"/>
      <c r="C203" s="655"/>
      <c r="D203" s="231"/>
      <c r="E203" s="7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</row>
    <row r="204" spans="1:15" x14ac:dyDescent="0.25">
      <c r="A204" s="324"/>
      <c r="B204" s="652"/>
      <c r="C204" s="655"/>
      <c r="D204" s="231"/>
      <c r="E204" s="7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</row>
    <row r="205" spans="1:15" x14ac:dyDescent="0.25">
      <c r="A205" s="324"/>
      <c r="B205" s="652"/>
      <c r="C205" s="655"/>
      <c r="D205" s="231"/>
      <c r="E205" s="7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</row>
    <row r="206" spans="1:15" x14ac:dyDescent="0.25">
      <c r="A206" s="324"/>
      <c r="B206" s="652"/>
      <c r="C206" s="655"/>
      <c r="D206" s="231"/>
      <c r="E206" s="7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</row>
    <row r="207" spans="1:15" x14ac:dyDescent="0.25">
      <c r="A207" s="324"/>
      <c r="B207" s="652"/>
      <c r="C207" s="655"/>
      <c r="D207" s="231"/>
      <c r="E207" s="7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</row>
    <row r="208" spans="1:15" x14ac:dyDescent="0.25">
      <c r="A208" s="324"/>
      <c r="B208" s="652"/>
      <c r="C208" s="655"/>
      <c r="D208" s="231"/>
      <c r="E208" s="7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</row>
    <row r="209" spans="1:15" x14ac:dyDescent="0.25">
      <c r="A209" s="324"/>
      <c r="B209" s="652"/>
      <c r="C209" s="655"/>
      <c r="D209" s="231"/>
      <c r="E209" s="7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</row>
    <row r="210" spans="1:15" x14ac:dyDescent="0.25">
      <c r="A210" s="324"/>
      <c r="B210" s="652"/>
      <c r="C210" s="655"/>
      <c r="D210" s="231"/>
      <c r="E210" s="7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</row>
    <row r="211" spans="1:15" x14ac:dyDescent="0.25">
      <c r="A211" s="324"/>
      <c r="B211" s="652"/>
      <c r="C211" s="655"/>
      <c r="D211" s="231"/>
      <c r="E211" s="7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</row>
    <row r="212" spans="1:15" x14ac:dyDescent="0.25">
      <c r="A212" s="324"/>
      <c r="B212" s="652"/>
      <c r="C212" s="655"/>
      <c r="D212" s="231"/>
      <c r="E212" s="7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</row>
    <row r="213" spans="1:15" x14ac:dyDescent="0.25">
      <c r="A213" s="324"/>
      <c r="B213" s="652"/>
      <c r="C213" s="655"/>
      <c r="D213" s="231"/>
      <c r="E213" s="7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</row>
    <row r="214" spans="1:15" x14ac:dyDescent="0.25">
      <c r="A214" s="324"/>
      <c r="B214" s="652"/>
      <c r="C214" s="655"/>
      <c r="D214" s="231"/>
      <c r="E214" s="7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</row>
    <row r="215" spans="1:15" x14ac:dyDescent="0.25">
      <c r="A215" s="324"/>
      <c r="B215" s="652"/>
      <c r="C215" s="655"/>
      <c r="D215" s="231"/>
      <c r="E215" s="7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</row>
    <row r="216" spans="1:15" x14ac:dyDescent="0.25">
      <c r="A216" s="324"/>
      <c r="B216" s="652"/>
      <c r="C216" s="655"/>
      <c r="D216" s="231"/>
      <c r="E216" s="7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</row>
    <row r="217" spans="1:15" x14ac:dyDescent="0.25">
      <c r="A217" s="324"/>
      <c r="B217" s="652"/>
      <c r="C217" s="655"/>
      <c r="D217" s="231"/>
      <c r="E217" s="7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</row>
    <row r="218" spans="1:15" x14ac:dyDescent="0.25">
      <c r="A218" s="324"/>
      <c r="B218" s="652"/>
      <c r="C218" s="655"/>
      <c r="D218" s="231"/>
      <c r="E218" s="7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</row>
    <row r="219" spans="1:15" x14ac:dyDescent="0.25">
      <c r="A219" s="324"/>
      <c r="B219" s="652"/>
      <c r="C219" s="655"/>
      <c r="D219" s="231"/>
      <c r="E219" s="7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</row>
    <row r="220" spans="1:15" x14ac:dyDescent="0.25">
      <c r="A220" s="324"/>
      <c r="B220" s="652"/>
      <c r="C220" s="655"/>
      <c r="D220" s="231"/>
      <c r="E220" s="7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</row>
    <row r="221" spans="1:15" x14ac:dyDescent="0.25">
      <c r="A221" s="324"/>
      <c r="B221" s="652"/>
      <c r="C221" s="655"/>
      <c r="D221" s="231"/>
      <c r="E221" s="7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</row>
    <row r="222" spans="1:15" x14ac:dyDescent="0.25">
      <c r="A222" s="324"/>
      <c r="B222" s="652"/>
      <c r="C222" s="655"/>
      <c r="D222" s="231"/>
      <c r="E222" s="7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</row>
    <row r="223" spans="1:15" x14ac:dyDescent="0.25">
      <c r="A223" s="324"/>
      <c r="B223" s="652"/>
      <c r="C223" s="655"/>
      <c r="D223" s="231"/>
      <c r="E223" s="7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</row>
    <row r="224" spans="1:15" x14ac:dyDescent="0.25">
      <c r="A224" s="324"/>
      <c r="B224" s="652"/>
      <c r="C224" s="655"/>
      <c r="D224" s="231"/>
      <c r="E224" s="7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</row>
    <row r="225" spans="1:15" x14ac:dyDescent="0.25">
      <c r="A225" s="324"/>
      <c r="B225" s="652"/>
      <c r="C225" s="655"/>
      <c r="D225" s="231"/>
      <c r="E225" s="7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</row>
    <row r="226" spans="1:15" x14ac:dyDescent="0.25">
      <c r="A226" s="324"/>
      <c r="B226" s="652"/>
      <c r="C226" s="655"/>
      <c r="D226" s="231"/>
      <c r="E226" s="7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</row>
    <row r="227" spans="1:15" x14ac:dyDescent="0.25">
      <c r="A227" s="324"/>
      <c r="B227" s="652"/>
      <c r="C227" s="655"/>
      <c r="D227" s="231"/>
      <c r="E227" s="7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</row>
    <row r="228" spans="1:15" x14ac:dyDescent="0.25">
      <c r="A228" s="324"/>
      <c r="B228" s="652"/>
      <c r="C228" s="655"/>
      <c r="D228" s="231"/>
      <c r="E228" s="7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</row>
    <row r="229" spans="1:15" x14ac:dyDescent="0.25">
      <c r="A229" s="324"/>
      <c r="B229" s="652"/>
      <c r="C229" s="655"/>
      <c r="D229" s="231"/>
      <c r="E229" s="7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</row>
    <row r="230" spans="1:15" x14ac:dyDescent="0.25">
      <c r="A230" s="324"/>
      <c r="B230" s="652"/>
      <c r="C230" s="655"/>
      <c r="D230" s="231"/>
      <c r="E230" s="7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</row>
    <row r="231" spans="1:15" x14ac:dyDescent="0.25">
      <c r="A231" s="324"/>
      <c r="B231" s="652"/>
      <c r="C231" s="655"/>
      <c r="D231" s="231"/>
      <c r="E231" s="7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</row>
    <row r="232" spans="1:15" x14ac:dyDescent="0.25">
      <c r="A232" s="324"/>
      <c r="B232" s="652"/>
      <c r="C232" s="655"/>
      <c r="D232" s="231"/>
      <c r="E232" s="7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</row>
    <row r="233" spans="1:15" x14ac:dyDescent="0.25">
      <c r="A233" s="324"/>
      <c r="B233" s="652"/>
      <c r="C233" s="655"/>
      <c r="D233" s="231"/>
      <c r="E233" s="7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</row>
    <row r="234" spans="1:15" x14ac:dyDescent="0.25">
      <c r="A234" s="324"/>
      <c r="B234" s="652"/>
      <c r="C234" s="655"/>
      <c r="D234" s="231"/>
      <c r="E234" s="7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</row>
    <row r="235" spans="1:15" x14ac:dyDescent="0.25">
      <c r="A235" s="324"/>
      <c r="B235" s="652"/>
      <c r="C235" s="655"/>
      <c r="D235" s="231"/>
      <c r="E235" s="7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</row>
    <row r="236" spans="1:15" x14ac:dyDescent="0.25">
      <c r="A236" s="324"/>
      <c r="B236" s="652"/>
      <c r="C236" s="655"/>
      <c r="D236" s="231"/>
      <c r="E236" s="7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</row>
    <row r="237" spans="1:15" x14ac:dyDescent="0.25">
      <c r="A237" s="324"/>
      <c r="B237" s="652"/>
      <c r="C237" s="655"/>
      <c r="D237" s="231"/>
      <c r="E237" s="7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</row>
    <row r="238" spans="1:15" x14ac:dyDescent="0.25">
      <c r="A238" s="324"/>
      <c r="B238" s="652"/>
      <c r="C238" s="655"/>
      <c r="D238" s="231"/>
      <c r="E238" s="7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</row>
    <row r="239" spans="1:15" x14ac:dyDescent="0.25">
      <c r="A239" s="324"/>
      <c r="B239" s="652"/>
      <c r="C239" s="655"/>
      <c r="D239" s="231"/>
      <c r="E239" s="7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</row>
    <row r="240" spans="1:15" x14ac:dyDescent="0.25">
      <c r="A240" s="324"/>
      <c r="B240" s="652"/>
      <c r="C240" s="655"/>
      <c r="D240" s="231"/>
      <c r="E240" s="7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</row>
    <row r="241" spans="1:15" x14ac:dyDescent="0.25">
      <c r="A241" s="324"/>
      <c r="B241" s="652"/>
      <c r="C241" s="655"/>
      <c r="D241" s="231"/>
      <c r="E241" s="7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</row>
    <row r="242" spans="1:15" x14ac:dyDescent="0.25">
      <c r="A242" s="324"/>
      <c r="B242" s="652"/>
      <c r="C242" s="655"/>
      <c r="D242" s="231"/>
      <c r="E242" s="7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</row>
    <row r="243" spans="1:15" x14ac:dyDescent="0.25">
      <c r="A243" s="324"/>
      <c r="B243" s="652"/>
      <c r="C243" s="655"/>
      <c r="D243" s="231"/>
      <c r="E243" s="7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</row>
    <row r="244" spans="1:15" x14ac:dyDescent="0.25">
      <c r="A244" s="324"/>
      <c r="B244" s="652"/>
      <c r="C244" s="655"/>
      <c r="D244" s="231"/>
      <c r="E244" s="7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</row>
    <row r="245" spans="1:15" x14ac:dyDescent="0.25">
      <c r="A245" s="324"/>
      <c r="B245" s="652"/>
      <c r="C245" s="655"/>
      <c r="D245" s="231"/>
      <c r="E245" s="7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</row>
    <row r="246" spans="1:15" x14ac:dyDescent="0.25">
      <c r="A246" s="324"/>
      <c r="B246" s="652"/>
      <c r="C246" s="655"/>
      <c r="D246" s="231"/>
      <c r="E246" s="7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</row>
    <row r="247" spans="1:15" x14ac:dyDescent="0.25">
      <c r="A247" s="324"/>
      <c r="B247" s="652"/>
      <c r="C247" s="655"/>
      <c r="D247" s="231"/>
      <c r="E247" s="7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</row>
    <row r="248" spans="1:15" x14ac:dyDescent="0.25">
      <c r="A248" s="324"/>
      <c r="B248" s="652"/>
      <c r="C248" s="655"/>
      <c r="D248" s="231"/>
      <c r="E248" s="7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</row>
    <row r="249" spans="1:15" x14ac:dyDescent="0.25">
      <c r="A249" s="324"/>
      <c r="B249" s="652"/>
      <c r="C249" s="655"/>
      <c r="D249" s="231"/>
      <c r="E249" s="7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</row>
    <row r="250" spans="1:15" x14ac:dyDescent="0.25">
      <c r="A250" s="324"/>
      <c r="B250" s="652"/>
      <c r="C250" s="655"/>
      <c r="D250" s="231"/>
      <c r="E250" s="7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</row>
    <row r="251" spans="1:15" x14ac:dyDescent="0.25">
      <c r="A251" s="324"/>
      <c r="B251" s="652"/>
      <c r="C251" s="655"/>
      <c r="D251" s="231"/>
      <c r="E251" s="7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</row>
    <row r="252" spans="1:15" x14ac:dyDescent="0.25">
      <c r="A252" s="324"/>
      <c r="B252" s="652"/>
      <c r="C252" s="655"/>
      <c r="D252" s="231"/>
      <c r="E252" s="7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</row>
    <row r="253" spans="1:15" x14ac:dyDescent="0.25">
      <c r="A253" s="324"/>
      <c r="B253" s="652"/>
      <c r="C253" s="655"/>
      <c r="D253" s="231"/>
      <c r="E253" s="7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</row>
    <row r="254" spans="1:15" x14ac:dyDescent="0.25">
      <c r="A254" s="324"/>
      <c r="B254" s="652"/>
      <c r="C254" s="655"/>
      <c r="D254" s="231"/>
      <c r="E254" s="7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</row>
    <row r="255" spans="1:15" x14ac:dyDescent="0.25">
      <c r="A255" s="324"/>
      <c r="B255" s="652"/>
      <c r="C255" s="655"/>
      <c r="D255" s="231"/>
      <c r="E255" s="7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</row>
    <row r="256" spans="1:15" x14ac:dyDescent="0.25">
      <c r="A256" s="324"/>
      <c r="B256" s="652"/>
      <c r="C256" s="655"/>
      <c r="D256" s="231"/>
      <c r="E256" s="7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</row>
    <row r="257" spans="1:15" x14ac:dyDescent="0.25">
      <c r="A257" s="324"/>
      <c r="B257" s="652"/>
      <c r="C257" s="655"/>
      <c r="D257" s="231"/>
      <c r="E257" s="7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</row>
    <row r="258" spans="1:15" x14ac:dyDescent="0.25">
      <c r="A258" s="324"/>
      <c r="B258" s="652"/>
      <c r="C258" s="655"/>
      <c r="D258" s="231"/>
      <c r="E258" s="7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</row>
    <row r="259" spans="1:15" x14ac:dyDescent="0.25">
      <c r="A259" s="324"/>
      <c r="B259" s="652"/>
      <c r="C259" s="655"/>
      <c r="D259" s="231"/>
      <c r="E259" s="7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</row>
    <row r="260" spans="1:15" x14ac:dyDescent="0.25">
      <c r="A260" s="324"/>
      <c r="B260" s="652"/>
      <c r="C260" s="655"/>
      <c r="D260" s="231"/>
      <c r="E260" s="7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</row>
    <row r="261" spans="1:15" x14ac:dyDescent="0.25">
      <c r="A261" s="324"/>
      <c r="B261" s="652"/>
      <c r="C261" s="655"/>
      <c r="D261" s="231"/>
      <c r="E261" s="7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</row>
    <row r="262" spans="1:15" x14ac:dyDescent="0.25">
      <c r="A262" s="324"/>
      <c r="B262" s="652"/>
      <c r="C262" s="655"/>
      <c r="D262" s="231"/>
      <c r="E262" s="7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</row>
    <row r="263" spans="1:15" x14ac:dyDescent="0.25">
      <c r="A263" s="324"/>
      <c r="B263" s="652"/>
      <c r="C263" s="655"/>
      <c r="D263" s="231"/>
      <c r="E263" s="7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</row>
    <row r="264" spans="1:15" x14ac:dyDescent="0.25">
      <c r="A264" s="324"/>
      <c r="B264" s="652"/>
      <c r="C264" s="655"/>
      <c r="D264" s="231"/>
      <c r="E264" s="7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</row>
    <row r="265" spans="1:15" x14ac:dyDescent="0.25">
      <c r="A265" s="324"/>
      <c r="B265" s="652"/>
      <c r="C265" s="655"/>
      <c r="D265" s="231"/>
      <c r="E265" s="71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</row>
    <row r="266" spans="1:15" x14ac:dyDescent="0.25">
      <c r="A266" s="324"/>
      <c r="B266" s="652"/>
      <c r="C266" s="655"/>
      <c r="D266" s="231"/>
      <c r="E266" s="71"/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</row>
    <row r="267" spans="1:15" x14ac:dyDescent="0.25">
      <c r="A267" s="324"/>
      <c r="B267" s="652"/>
      <c r="C267" s="655"/>
      <c r="D267" s="231"/>
      <c r="E267" s="7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</row>
    <row r="268" spans="1:15" x14ac:dyDescent="0.25">
      <c r="A268" s="324"/>
      <c r="B268" s="652"/>
      <c r="C268" s="655"/>
      <c r="D268" s="231"/>
      <c r="E268" s="7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</row>
    <row r="269" spans="1:15" x14ac:dyDescent="0.25">
      <c r="A269" s="324"/>
      <c r="B269" s="652"/>
      <c r="C269" s="655"/>
      <c r="D269" s="231"/>
      <c r="E269" s="71"/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</row>
    <row r="270" spans="1:15" x14ac:dyDescent="0.25">
      <c r="A270" s="324"/>
      <c r="B270" s="652"/>
      <c r="C270" s="655"/>
      <c r="D270" s="231"/>
      <c r="E270" s="71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</row>
    <row r="271" spans="1:15" x14ac:dyDescent="0.25">
      <c r="A271" s="324"/>
      <c r="B271" s="652"/>
      <c r="C271" s="655"/>
      <c r="D271" s="231"/>
      <c r="E271" s="71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</row>
    <row r="272" spans="1:15" x14ac:dyDescent="0.25">
      <c r="A272" s="324"/>
      <c r="B272" s="652"/>
      <c r="C272" s="655"/>
      <c r="D272" s="231"/>
      <c r="E272" s="71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</row>
    <row r="273" spans="1:15" x14ac:dyDescent="0.25">
      <c r="A273" s="324"/>
      <c r="B273" s="652"/>
      <c r="C273" s="655"/>
      <c r="D273" s="231"/>
      <c r="E273" s="71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</row>
    <row r="274" spans="1:15" x14ac:dyDescent="0.25">
      <c r="A274" s="324"/>
      <c r="B274" s="652"/>
      <c r="C274" s="655"/>
      <c r="D274" s="231"/>
      <c r="E274" s="71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</row>
    <row r="275" spans="1:15" x14ac:dyDescent="0.25">
      <c r="A275" s="324"/>
      <c r="B275" s="652"/>
      <c r="C275" s="655"/>
      <c r="D275" s="231"/>
      <c r="E275" s="71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</row>
    <row r="276" spans="1:15" x14ac:dyDescent="0.25">
      <c r="A276" s="324"/>
      <c r="B276" s="652"/>
      <c r="C276" s="655"/>
      <c r="D276" s="231"/>
      <c r="E276" s="71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</row>
    <row r="277" spans="1:15" x14ac:dyDescent="0.25">
      <c r="A277" s="324"/>
      <c r="B277" s="652"/>
      <c r="C277" s="655"/>
      <c r="D277" s="231"/>
      <c r="E277" s="71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</row>
    <row r="278" spans="1:15" x14ac:dyDescent="0.25">
      <c r="A278" s="324"/>
      <c r="B278" s="652"/>
      <c r="C278" s="655"/>
      <c r="D278" s="231"/>
      <c r="E278" s="71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</row>
    <row r="279" spans="1:15" x14ac:dyDescent="0.25">
      <c r="A279" s="324"/>
      <c r="B279" s="652"/>
      <c r="C279" s="655"/>
      <c r="D279" s="231"/>
      <c r="E279" s="71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</row>
    <row r="280" spans="1:15" x14ac:dyDescent="0.25">
      <c r="A280" s="324"/>
      <c r="B280" s="652"/>
      <c r="C280" s="655"/>
      <c r="D280" s="231"/>
      <c r="E280" s="71"/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</row>
    <row r="281" spans="1:15" x14ac:dyDescent="0.25">
      <c r="A281" s="324"/>
      <c r="B281" s="652"/>
      <c r="C281" s="655"/>
      <c r="D281" s="231"/>
      <c r="E281" s="71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</row>
    <row r="282" spans="1:15" x14ac:dyDescent="0.25">
      <c r="A282" s="324"/>
      <c r="B282" s="652"/>
      <c r="C282" s="655"/>
      <c r="D282" s="231"/>
      <c r="E282" s="71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</row>
    <row r="283" spans="1:15" x14ac:dyDescent="0.25">
      <c r="A283" s="324"/>
      <c r="B283" s="652"/>
      <c r="C283" s="655"/>
      <c r="D283" s="231"/>
      <c r="E283" s="71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</row>
    <row r="284" spans="1:15" x14ac:dyDescent="0.25">
      <c r="A284" s="324"/>
      <c r="B284" s="652"/>
      <c r="C284" s="655"/>
      <c r="D284" s="231"/>
      <c r="E284" s="71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</row>
    <row r="285" spans="1:15" x14ac:dyDescent="0.25">
      <c r="A285" s="324"/>
      <c r="B285" s="652"/>
      <c r="C285" s="655"/>
      <c r="D285" s="231"/>
      <c r="E285" s="7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</row>
    <row r="286" spans="1:15" x14ac:dyDescent="0.25">
      <c r="A286" s="324"/>
      <c r="B286" s="652"/>
      <c r="C286" s="655"/>
      <c r="D286" s="231"/>
      <c r="E286" s="71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</row>
    <row r="287" spans="1:15" x14ac:dyDescent="0.25">
      <c r="A287" s="324"/>
      <c r="B287" s="653"/>
      <c r="C287" s="71"/>
      <c r="D287" s="231"/>
      <c r="E287" s="71"/>
      <c r="F287" s="390"/>
      <c r="G287" s="390"/>
      <c r="H287" s="390"/>
      <c r="I287" s="390"/>
      <c r="J287" s="390"/>
      <c r="K287" s="390"/>
      <c r="L287" s="390"/>
      <c r="M287" s="390"/>
      <c r="N287" s="390"/>
      <c r="O287" s="390"/>
    </row>
    <row r="288" spans="1:15" x14ac:dyDescent="0.25">
      <c r="A288" s="324"/>
      <c r="B288" s="653"/>
      <c r="C288" s="71"/>
      <c r="D288" s="231"/>
      <c r="E288" s="71"/>
      <c r="F288" s="390"/>
      <c r="G288" s="390"/>
      <c r="H288" s="390"/>
      <c r="I288" s="390"/>
      <c r="J288" s="390"/>
      <c r="K288" s="390"/>
      <c r="L288" s="390"/>
      <c r="M288" s="390"/>
      <c r="N288" s="390"/>
      <c r="O288" s="390"/>
    </row>
    <row r="289" spans="1:15" x14ac:dyDescent="0.25">
      <c r="A289" s="324"/>
      <c r="B289" s="653"/>
      <c r="C289" s="71"/>
      <c r="D289" s="231"/>
      <c r="E289" s="71"/>
      <c r="F289" s="390"/>
      <c r="G289" s="390"/>
      <c r="H289" s="390"/>
      <c r="I289" s="390"/>
      <c r="J289" s="390"/>
      <c r="K289" s="390"/>
      <c r="L289" s="390"/>
      <c r="M289" s="390"/>
      <c r="N289" s="390"/>
      <c r="O289" s="390"/>
    </row>
    <row r="290" spans="1:15" x14ac:dyDescent="0.25">
      <c r="A290" s="324"/>
      <c r="B290" s="653"/>
      <c r="C290" s="71"/>
      <c r="D290" s="231"/>
      <c r="E290" s="71"/>
      <c r="F290" s="390"/>
      <c r="G290" s="390"/>
      <c r="H290" s="390"/>
      <c r="I290" s="390"/>
      <c r="J290" s="390"/>
      <c r="K290" s="390"/>
      <c r="L290" s="390"/>
      <c r="M290" s="390"/>
      <c r="N290" s="390"/>
      <c r="O290" s="390"/>
    </row>
    <row r="291" spans="1:15" x14ac:dyDescent="0.25">
      <c r="A291" s="324"/>
      <c r="B291" s="653"/>
      <c r="C291" s="71"/>
      <c r="D291" s="231"/>
      <c r="E291" s="71"/>
      <c r="F291" s="390"/>
      <c r="G291" s="390"/>
      <c r="H291" s="390"/>
      <c r="I291" s="390"/>
      <c r="J291" s="390"/>
      <c r="K291" s="390"/>
      <c r="L291" s="390"/>
      <c r="M291" s="390"/>
      <c r="N291" s="390"/>
      <c r="O291" s="390"/>
    </row>
    <row r="292" spans="1:15" x14ac:dyDescent="0.25">
      <c r="A292" s="324"/>
      <c r="B292" s="653"/>
      <c r="C292" s="71"/>
      <c r="D292" s="231"/>
      <c r="E292" s="71"/>
      <c r="F292" s="390"/>
      <c r="G292" s="390"/>
      <c r="H292" s="390"/>
      <c r="I292" s="390"/>
      <c r="J292" s="390"/>
      <c r="K292" s="390"/>
      <c r="L292" s="390"/>
      <c r="M292" s="390"/>
      <c r="N292" s="390"/>
      <c r="O292" s="390"/>
    </row>
    <row r="293" spans="1:15" x14ac:dyDescent="0.25">
      <c r="A293" s="324"/>
      <c r="B293" s="653"/>
      <c r="C293" s="71"/>
      <c r="D293" s="231"/>
      <c r="E293" s="71"/>
      <c r="F293" s="390"/>
      <c r="G293" s="390"/>
      <c r="H293" s="390"/>
      <c r="I293" s="390"/>
      <c r="J293" s="390"/>
      <c r="K293" s="390"/>
      <c r="L293" s="390"/>
      <c r="M293" s="390"/>
      <c r="N293" s="390"/>
      <c r="O293" s="390"/>
    </row>
    <row r="294" spans="1:15" x14ac:dyDescent="0.25">
      <c r="A294" s="324"/>
      <c r="B294" s="653"/>
      <c r="C294" s="71"/>
      <c r="D294" s="231"/>
      <c r="E294" s="71"/>
      <c r="F294" s="390"/>
      <c r="G294" s="390"/>
      <c r="H294" s="390"/>
      <c r="I294" s="390"/>
      <c r="J294" s="390"/>
      <c r="K294" s="390"/>
      <c r="L294" s="390"/>
      <c r="M294" s="390"/>
      <c r="N294" s="390"/>
      <c r="O294" s="390"/>
    </row>
    <row r="295" spans="1:15" x14ac:dyDescent="0.25">
      <c r="A295" s="324"/>
      <c r="B295" s="653"/>
      <c r="C295" s="71"/>
      <c r="D295" s="231"/>
      <c r="E295" s="71"/>
      <c r="F295" s="390"/>
      <c r="G295" s="390"/>
      <c r="H295" s="390"/>
      <c r="I295" s="390"/>
      <c r="J295" s="390"/>
      <c r="K295" s="390"/>
      <c r="L295" s="390"/>
      <c r="M295" s="390"/>
      <c r="N295" s="390"/>
      <c r="O295" s="390"/>
    </row>
    <row r="296" spans="1:15" x14ac:dyDescent="0.25">
      <c r="A296" s="324"/>
      <c r="B296" s="653"/>
      <c r="C296" s="71"/>
      <c r="D296" s="231"/>
      <c r="E296" s="71"/>
      <c r="F296" s="390"/>
      <c r="G296" s="390"/>
      <c r="H296" s="390"/>
      <c r="I296" s="390"/>
      <c r="J296" s="390"/>
      <c r="K296" s="390"/>
      <c r="L296" s="390"/>
      <c r="M296" s="390"/>
      <c r="N296" s="390"/>
      <c r="O296" s="390"/>
    </row>
  </sheetData>
  <conditionalFormatting sqref="F64:O64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equal">
      <formula>0</formula>
    </cfRule>
  </conditionalFormatting>
  <hyperlinks>
    <hyperlink ref="Q5" r:id="rId1" xr:uid="{FDA7734B-E456-42FE-B8F1-75900826152E}"/>
  </hyperlinks>
  <pageMargins left="0.70866141732283472" right="0.70866141732283472" top="0.74803149606299213" bottom="0.74803149606299213" header="0.31496062992125984" footer="0.31496062992125984"/>
  <pageSetup paperSize="9" scale="57" fitToHeight="14" orientation="landscape" r:id="rId2"/>
  <headerFooter>
    <oddFooter>&amp;C&amp;9Страница  &amp;P из &amp;N&amp;R&amp;G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6" name="Check Box 1">
              <controlPr defaultSize="0" autoFill="0" autoLine="0" autoPict="0">
                <anchor moveWithCells="1">
                  <from>
                    <xdr:col>16</xdr:col>
                    <xdr:colOff>247650</xdr:colOff>
                    <xdr:row>7</xdr:row>
                    <xdr:rowOff>95250</xdr:rowOff>
                  </from>
                  <to>
                    <xdr:col>16</xdr:col>
                    <xdr:colOff>466725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7" name="Check Box 2">
              <controlPr defaultSize="0" autoFill="0" autoLine="0" autoPict="0">
                <anchor moveWithCells="1">
                  <from>
                    <xdr:col>16</xdr:col>
                    <xdr:colOff>247650</xdr:colOff>
                    <xdr:row>8</xdr:row>
                    <xdr:rowOff>95250</xdr:rowOff>
                  </from>
                  <to>
                    <xdr:col>16</xdr:col>
                    <xdr:colOff>466725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8" name="Check Box 3">
              <controlPr defaultSize="0" autoFill="0" autoLine="0" autoPict="0">
                <anchor moveWithCells="1">
                  <from>
                    <xdr:col>16</xdr:col>
                    <xdr:colOff>247650</xdr:colOff>
                    <xdr:row>9</xdr:row>
                    <xdr:rowOff>95250</xdr:rowOff>
                  </from>
                  <to>
                    <xdr:col>16</xdr:col>
                    <xdr:colOff>466725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9" name="Check Box 4">
              <controlPr defaultSize="0" autoFill="0" autoLine="0" autoPict="0">
                <anchor moveWithCells="1">
                  <from>
                    <xdr:col>16</xdr:col>
                    <xdr:colOff>247650</xdr:colOff>
                    <xdr:row>10</xdr:row>
                    <xdr:rowOff>95250</xdr:rowOff>
                  </from>
                  <to>
                    <xdr:col>16</xdr:col>
                    <xdr:colOff>466725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10" name="Check Box 5">
              <controlPr defaultSize="0" autoFill="0" autoLine="0" autoPict="0">
                <anchor moveWithCells="1">
                  <from>
                    <xdr:col>16</xdr:col>
                    <xdr:colOff>247650</xdr:colOff>
                    <xdr:row>13</xdr:row>
                    <xdr:rowOff>95250</xdr:rowOff>
                  </from>
                  <to>
                    <xdr:col>16</xdr:col>
                    <xdr:colOff>466725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11" name="Check Box 6">
              <controlPr defaultSize="0" autoFill="0" autoLine="0" autoPict="0">
                <anchor moveWithCells="1">
                  <from>
                    <xdr:col>16</xdr:col>
                    <xdr:colOff>209550</xdr:colOff>
                    <xdr:row>17</xdr:row>
                    <xdr:rowOff>19050</xdr:rowOff>
                  </from>
                  <to>
                    <xdr:col>16</xdr:col>
                    <xdr:colOff>428625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2" name="Check Box 7">
              <controlPr defaultSize="0" autoFill="0" autoLine="0" autoPict="0">
                <anchor moveWithCells="1">
                  <from>
                    <xdr:col>16</xdr:col>
                    <xdr:colOff>209550</xdr:colOff>
                    <xdr:row>18</xdr:row>
                    <xdr:rowOff>19050</xdr:rowOff>
                  </from>
                  <to>
                    <xdr:col>16</xdr:col>
                    <xdr:colOff>428625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3" name="Check Box 8">
              <controlPr defaultSize="0" autoFill="0" autoLine="0" autoPict="0">
                <anchor moveWithCells="1">
                  <from>
                    <xdr:col>16</xdr:col>
                    <xdr:colOff>209550</xdr:colOff>
                    <xdr:row>19</xdr:row>
                    <xdr:rowOff>19050</xdr:rowOff>
                  </from>
                  <to>
                    <xdr:col>16</xdr:col>
                    <xdr:colOff>428625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4" name="Check Box 9">
              <controlPr defaultSize="0" autoFill="0" autoLine="0" autoPict="0">
                <anchor moveWithCells="1">
                  <from>
                    <xdr:col>16</xdr:col>
                    <xdr:colOff>209550</xdr:colOff>
                    <xdr:row>20</xdr:row>
                    <xdr:rowOff>19050</xdr:rowOff>
                  </from>
                  <to>
                    <xdr:col>16</xdr:col>
                    <xdr:colOff>428625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5" name="Check Box 10">
              <controlPr defaultSize="0" autoFill="0" autoLine="0" autoPict="0">
                <anchor moveWithCells="1">
                  <from>
                    <xdr:col>16</xdr:col>
                    <xdr:colOff>209550</xdr:colOff>
                    <xdr:row>21</xdr:row>
                    <xdr:rowOff>19050</xdr:rowOff>
                  </from>
                  <to>
                    <xdr:col>16</xdr:col>
                    <xdr:colOff>428625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6" name="Check Box 11">
              <controlPr defaultSize="0" autoFill="0" autoLine="0" autoPict="0">
                <anchor moveWithCells="1">
                  <from>
                    <xdr:col>16</xdr:col>
                    <xdr:colOff>209550</xdr:colOff>
                    <xdr:row>24</xdr:row>
                    <xdr:rowOff>495300</xdr:rowOff>
                  </from>
                  <to>
                    <xdr:col>16</xdr:col>
                    <xdr:colOff>419100</xdr:colOff>
                    <xdr:row>24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7" name="Check Box 13">
              <controlPr defaultSize="0" autoFill="0" autoLine="0" autoPict="0">
                <anchor moveWithCells="1">
                  <from>
                    <xdr:col>16</xdr:col>
                    <xdr:colOff>209550</xdr:colOff>
                    <xdr:row>27</xdr:row>
                    <xdr:rowOff>19050</xdr:rowOff>
                  </from>
                  <to>
                    <xdr:col>16</xdr:col>
                    <xdr:colOff>428625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8" name="Check Box 14">
              <controlPr defaultSize="0" autoFill="0" autoLine="0" autoPict="0">
                <anchor moveWithCells="1">
                  <from>
                    <xdr:col>16</xdr:col>
                    <xdr:colOff>209550</xdr:colOff>
                    <xdr:row>30</xdr:row>
                    <xdr:rowOff>19050</xdr:rowOff>
                  </from>
                  <to>
                    <xdr:col>16</xdr:col>
                    <xdr:colOff>428625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9" name="Check Box 15">
              <controlPr defaultSize="0" autoFill="0" autoLine="0" autoPict="0">
                <anchor moveWithCells="1">
                  <from>
                    <xdr:col>16</xdr:col>
                    <xdr:colOff>209550</xdr:colOff>
                    <xdr:row>33</xdr:row>
                    <xdr:rowOff>19050</xdr:rowOff>
                  </from>
                  <to>
                    <xdr:col>16</xdr:col>
                    <xdr:colOff>428625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20" name="Check Box 16">
              <controlPr defaultSize="0" autoFill="0" autoLine="0" autoPict="0">
                <anchor moveWithCells="1">
                  <from>
                    <xdr:col>16</xdr:col>
                    <xdr:colOff>200025</xdr:colOff>
                    <xdr:row>39</xdr:row>
                    <xdr:rowOff>190500</xdr:rowOff>
                  </from>
                  <to>
                    <xdr:col>16</xdr:col>
                    <xdr:colOff>409575</xdr:colOff>
                    <xdr:row>39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1" name="Check Box 17">
              <controlPr defaultSize="0" autoFill="0" autoLine="0" autoPict="0">
                <anchor moveWithCells="1">
                  <from>
                    <xdr:col>16</xdr:col>
                    <xdr:colOff>200025</xdr:colOff>
                    <xdr:row>40</xdr:row>
                    <xdr:rowOff>190500</xdr:rowOff>
                  </from>
                  <to>
                    <xdr:col>16</xdr:col>
                    <xdr:colOff>409575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2" name="Check Box 18">
              <controlPr defaultSize="0" autoFill="0" autoLine="0" autoPict="0">
                <anchor moveWithCells="1">
                  <from>
                    <xdr:col>16</xdr:col>
                    <xdr:colOff>219075</xdr:colOff>
                    <xdr:row>44</xdr:row>
                    <xdr:rowOff>47625</xdr:rowOff>
                  </from>
                  <to>
                    <xdr:col>16</xdr:col>
                    <xdr:colOff>438150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3" name="Check Box 19">
              <controlPr defaultSize="0" autoFill="0" autoLine="0" autoPict="0">
                <anchor moveWithCells="1">
                  <from>
                    <xdr:col>16</xdr:col>
                    <xdr:colOff>219075</xdr:colOff>
                    <xdr:row>45</xdr:row>
                    <xdr:rowOff>47625</xdr:rowOff>
                  </from>
                  <to>
                    <xdr:col>16</xdr:col>
                    <xdr:colOff>438150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4" name="Check Box 20">
              <controlPr defaultSize="0" autoFill="0" autoLine="0" autoPict="0">
                <anchor moveWithCells="1">
                  <from>
                    <xdr:col>16</xdr:col>
                    <xdr:colOff>219075</xdr:colOff>
                    <xdr:row>46</xdr:row>
                    <xdr:rowOff>47625</xdr:rowOff>
                  </from>
                  <to>
                    <xdr:col>16</xdr:col>
                    <xdr:colOff>438150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5" name="Check Box 21">
              <controlPr defaultSize="0" autoFill="0" autoLine="0" autoPict="0">
                <anchor moveWithCells="1">
                  <from>
                    <xdr:col>16</xdr:col>
                    <xdr:colOff>219075</xdr:colOff>
                    <xdr:row>47</xdr:row>
                    <xdr:rowOff>47625</xdr:rowOff>
                  </from>
                  <to>
                    <xdr:col>16</xdr:col>
                    <xdr:colOff>438150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6" name="Check Box 22">
              <controlPr defaultSize="0" autoFill="0" autoLine="0" autoPict="0">
                <anchor moveWithCells="1">
                  <from>
                    <xdr:col>16</xdr:col>
                    <xdr:colOff>219075</xdr:colOff>
                    <xdr:row>48</xdr:row>
                    <xdr:rowOff>47625</xdr:rowOff>
                  </from>
                  <to>
                    <xdr:col>16</xdr:col>
                    <xdr:colOff>438150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7" name="Check Box 23">
              <controlPr defaultSize="0" autoFill="0" autoLine="0" autoPict="0">
                <anchor moveWithCells="1">
                  <from>
                    <xdr:col>16</xdr:col>
                    <xdr:colOff>219075</xdr:colOff>
                    <xdr:row>49</xdr:row>
                    <xdr:rowOff>47625</xdr:rowOff>
                  </from>
                  <to>
                    <xdr:col>16</xdr:col>
                    <xdr:colOff>438150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8" name="Check Box 26">
              <controlPr defaultSize="0" autoFill="0" autoLine="0" autoPict="0">
                <anchor moveWithCells="1">
                  <from>
                    <xdr:col>16</xdr:col>
                    <xdr:colOff>219075</xdr:colOff>
                    <xdr:row>52</xdr:row>
                    <xdr:rowOff>47625</xdr:rowOff>
                  </from>
                  <to>
                    <xdr:col>16</xdr:col>
                    <xdr:colOff>438150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9" name="Check Box 27">
              <controlPr defaultSize="0" autoFill="0" autoLine="0" autoPict="0">
                <anchor moveWithCells="1">
                  <from>
                    <xdr:col>16</xdr:col>
                    <xdr:colOff>219075</xdr:colOff>
                    <xdr:row>55</xdr:row>
                    <xdr:rowOff>47625</xdr:rowOff>
                  </from>
                  <to>
                    <xdr:col>16</xdr:col>
                    <xdr:colOff>438150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0" name="Check Box 28">
              <controlPr defaultSize="0" autoFill="0" autoLine="0" autoPict="0">
                <anchor moveWithCells="1">
                  <from>
                    <xdr:col>16</xdr:col>
                    <xdr:colOff>219075</xdr:colOff>
                    <xdr:row>58</xdr:row>
                    <xdr:rowOff>47625</xdr:rowOff>
                  </from>
                  <to>
                    <xdr:col>16</xdr:col>
                    <xdr:colOff>438150</xdr:colOff>
                    <xdr:row>58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B978-2227-4DF3-8D0F-5D11548B7662}">
  <sheetPr codeName="Лист8">
    <tabColor theme="2" tint="-0.249977111117893"/>
    <pageSetUpPr fitToPage="1"/>
  </sheetPr>
  <dimension ref="A1:E38"/>
  <sheetViews>
    <sheetView zoomScale="115" zoomScaleNormal="115" workbookViewId="0">
      <pane xSplit="1" ySplit="3" topLeftCell="B4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ColWidth="0" defaultRowHeight="15" zeroHeight="1" x14ac:dyDescent="0.25"/>
  <cols>
    <col min="1" max="1" width="11.5703125" customWidth="1"/>
    <col min="2" max="2" width="56.28515625" style="2" customWidth="1"/>
    <col min="3" max="3" width="26.28515625" customWidth="1"/>
    <col min="4" max="5" width="8.85546875" customWidth="1"/>
    <col min="6" max="16384" width="8.85546875" hidden="1"/>
  </cols>
  <sheetData>
    <row r="1" spans="1:3" ht="18.75" x14ac:dyDescent="0.3">
      <c r="A1" s="694" t="s">
        <v>1</v>
      </c>
      <c r="B1" s="167"/>
      <c r="C1" s="71"/>
    </row>
    <row r="2" spans="1:3" x14ac:dyDescent="0.25">
      <c r="A2" s="71" t="str">
        <f>Паспорт_ФМ_резидент!B7</f>
        <v>Название инвест. проект 01</v>
      </c>
      <c r="B2" s="167"/>
      <c r="C2" s="71"/>
    </row>
    <row r="3" spans="1:3" x14ac:dyDescent="0.25">
      <c r="A3" s="157" t="s">
        <v>2</v>
      </c>
      <c r="B3" s="656" t="s">
        <v>3</v>
      </c>
      <c r="C3" s="157" t="s">
        <v>4</v>
      </c>
    </row>
    <row r="4" spans="1:3" ht="4.9000000000000004" customHeight="1" x14ac:dyDescent="0.25">
      <c r="A4" s="149"/>
      <c r="B4" s="180"/>
      <c r="C4" s="149"/>
    </row>
    <row r="5" spans="1:3" x14ac:dyDescent="0.25">
      <c r="A5" s="149"/>
      <c r="B5" s="180"/>
      <c r="C5" s="149"/>
    </row>
    <row r="6" spans="1:3" ht="30" x14ac:dyDescent="0.25">
      <c r="A6" s="149"/>
      <c r="B6" s="178" t="s">
        <v>118</v>
      </c>
      <c r="C6" s="143">
        <v>1000</v>
      </c>
    </row>
    <row r="7" spans="1:3" x14ac:dyDescent="0.25">
      <c r="A7" s="149"/>
      <c r="B7" s="178"/>
      <c r="C7" s="149"/>
    </row>
    <row r="8" spans="1:3" ht="30" x14ac:dyDescent="0.25">
      <c r="A8" s="149"/>
      <c r="B8" s="178" t="s">
        <v>126</v>
      </c>
      <c r="C8" s="146">
        <v>10</v>
      </c>
    </row>
    <row r="9" spans="1:3" x14ac:dyDescent="0.25">
      <c r="A9" s="149"/>
      <c r="B9" s="178"/>
      <c r="C9" s="149"/>
    </row>
    <row r="10" spans="1:3" ht="30" x14ac:dyDescent="0.25">
      <c r="A10" s="149"/>
      <c r="B10" s="178" t="s">
        <v>117</v>
      </c>
      <c r="C10" s="232">
        <v>1000</v>
      </c>
    </row>
    <row r="11" spans="1:3" x14ac:dyDescent="0.25">
      <c r="A11" s="149"/>
      <c r="B11" s="178"/>
      <c r="C11" s="149"/>
    </row>
    <row r="12" spans="1:3" x14ac:dyDescent="0.25">
      <c r="A12" s="149"/>
      <c r="B12" s="178" t="s">
        <v>119</v>
      </c>
      <c r="C12" s="657">
        <v>1.04</v>
      </c>
    </row>
    <row r="13" spans="1:3" x14ac:dyDescent="0.25">
      <c r="A13" s="149"/>
      <c r="B13" s="178"/>
      <c r="C13" s="149"/>
    </row>
    <row r="14" spans="1:3" x14ac:dyDescent="0.25">
      <c r="A14" s="149"/>
      <c r="B14" s="178" t="s">
        <v>5</v>
      </c>
      <c r="C14" s="658">
        <v>45358</v>
      </c>
    </row>
    <row r="15" spans="1:3" x14ac:dyDescent="0.25">
      <c r="A15" s="149"/>
      <c r="B15" s="178"/>
      <c r="C15" s="149"/>
    </row>
    <row r="16" spans="1:3" x14ac:dyDescent="0.25">
      <c r="A16" s="149"/>
      <c r="B16" s="178" t="s">
        <v>235</v>
      </c>
      <c r="C16" s="659">
        <v>0.12</v>
      </c>
    </row>
    <row r="17" spans="1:3" x14ac:dyDescent="0.25">
      <c r="A17" s="149"/>
      <c r="B17" s="178"/>
      <c r="C17" s="149"/>
    </row>
    <row r="18" spans="1:3" x14ac:dyDescent="0.25">
      <c r="A18" s="149"/>
      <c r="B18" s="178" t="s">
        <v>6</v>
      </c>
      <c r="C18" s="553">
        <v>1000</v>
      </c>
    </row>
    <row r="19" spans="1:3" x14ac:dyDescent="0.25">
      <c r="A19" s="149"/>
      <c r="B19" s="178"/>
      <c r="C19" s="149"/>
    </row>
    <row r="20" spans="1:3" x14ac:dyDescent="0.25">
      <c r="A20" s="149"/>
      <c r="B20" s="178" t="s">
        <v>7</v>
      </c>
      <c r="C20" s="228">
        <v>1000</v>
      </c>
    </row>
    <row r="21" spans="1:3" x14ac:dyDescent="0.25">
      <c r="A21" s="149"/>
      <c r="B21" s="178"/>
      <c r="C21" s="149"/>
    </row>
    <row r="22" spans="1:3" x14ac:dyDescent="0.25">
      <c r="A22" s="149"/>
      <c r="B22" s="178" t="s">
        <v>18</v>
      </c>
      <c r="C22" s="157" t="s">
        <v>3</v>
      </c>
    </row>
    <row r="23" spans="1:3" x14ac:dyDescent="0.25">
      <c r="A23" s="149"/>
      <c r="B23" s="178"/>
      <c r="C23" s="149"/>
    </row>
    <row r="24" spans="1:3" x14ac:dyDescent="0.25">
      <c r="A24" s="149"/>
      <c r="B24" s="178" t="s">
        <v>8</v>
      </c>
      <c r="C24" s="157">
        <v>2024</v>
      </c>
    </row>
    <row r="25" spans="1:3" x14ac:dyDescent="0.25">
      <c r="A25" s="149"/>
      <c r="B25" s="178"/>
      <c r="C25" s="149"/>
    </row>
    <row r="26" spans="1:3" x14ac:dyDescent="0.25">
      <c r="A26" s="149"/>
      <c r="B26" s="178" t="s">
        <v>16</v>
      </c>
      <c r="C26" s="575" t="s">
        <v>14</v>
      </c>
    </row>
    <row r="27" spans="1:3" x14ac:dyDescent="0.25">
      <c r="A27" s="149"/>
      <c r="B27" s="178"/>
      <c r="C27" s="575"/>
    </row>
    <row r="28" spans="1:3" x14ac:dyDescent="0.25">
      <c r="A28" s="149"/>
      <c r="B28" s="178" t="s">
        <v>17</v>
      </c>
      <c r="C28" s="149" t="s">
        <v>15</v>
      </c>
    </row>
    <row r="29" spans="1:3" x14ac:dyDescent="0.25">
      <c r="A29" s="149"/>
      <c r="B29" s="178"/>
      <c r="C29" s="149"/>
    </row>
    <row r="30" spans="1:3" ht="30" x14ac:dyDescent="0.25">
      <c r="A30" s="149"/>
      <c r="B30" s="178" t="s">
        <v>9</v>
      </c>
      <c r="C30" s="230">
        <v>2</v>
      </c>
    </row>
    <row r="31" spans="1:3" ht="30" x14ac:dyDescent="0.25">
      <c r="A31" s="149"/>
      <c r="B31" s="178" t="s">
        <v>10</v>
      </c>
      <c r="C31" s="384" t="str">
        <f>IF(ROUND(C30,3)=0,"Верно","Ошибка!")</f>
        <v>Ошибка!</v>
      </c>
    </row>
    <row r="32" spans="1:3" x14ac:dyDescent="0.25">
      <c r="A32" s="149"/>
      <c r="B32" s="178"/>
      <c r="C32" s="149"/>
    </row>
    <row r="33" spans="2:3" ht="30" x14ac:dyDescent="0.25">
      <c r="B33" s="593" t="s">
        <v>137</v>
      </c>
      <c r="C33" s="405">
        <v>5</v>
      </c>
    </row>
    <row r="34" spans="2:3" x14ac:dyDescent="0.25">
      <c r="B34" s="167"/>
      <c r="C34" s="71"/>
    </row>
    <row r="35" spans="2:3" x14ac:dyDescent="0.25">
      <c r="B35" s="167"/>
      <c r="C35" s="71"/>
    </row>
    <row r="36" spans="2:3" x14ac:dyDescent="0.25">
      <c r="B36" s="167"/>
      <c r="C36" s="71"/>
    </row>
    <row r="37" spans="2:3" x14ac:dyDescent="0.25">
      <c r="B37" s="167"/>
      <c r="C37" s="71"/>
    </row>
    <row r="38" spans="2:3" x14ac:dyDescent="0.25">
      <c r="B38" s="167"/>
      <c r="C38" s="71"/>
    </row>
  </sheetData>
  <conditionalFormatting sqref="C31">
    <cfRule type="expression" dxfId="0" priority="1">
      <formula>C31="Ошибка!"</formula>
    </cfRule>
  </conditionalFormatting>
  <hyperlinks>
    <hyperlink ref="C26" r:id="rId1" xr:uid="{DB40B606-F2EE-401C-A3B7-5E9C687485B9}"/>
  </hyperlinks>
  <pageMargins left="0.70866141732283472" right="0.70866141732283472" top="0.74803149606299213" bottom="0.74803149606299213" header="0.31496062992125984" footer="0.31496062992125984"/>
  <pageSetup paperSize="9" scale="92" orientation="portrait" r:id="rId2"/>
  <headerFooter>
    <oddFooter>&amp;C&amp;9Страница  &amp;P из &amp;N&amp;R&amp;G</oddFooter>
  </headerFooter>
  <drawing r:id="rId3"/>
  <legacyDrawingHF r:id="rId4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7268E-B00F-4CF2-8900-C2D69856688A}">
  <sheetPr codeName="Лист7">
    <tabColor theme="2" tint="-0.249977111117893"/>
    <outlinePr summaryRight="0"/>
    <pageSetUpPr fitToPage="1"/>
  </sheetPr>
  <dimension ref="A1:AL125"/>
  <sheetViews>
    <sheetView zoomScale="115" zoomScaleNormal="115" workbookViewId="0">
      <pane xSplit="4" ySplit="4" topLeftCell="E62" activePane="bottomRight" state="frozen"/>
      <selection activeCell="C8" sqref="C8"/>
      <selection pane="topRight" activeCell="C8" sqref="C8"/>
      <selection pane="bottomLeft" activeCell="C8" sqref="C8"/>
      <selection pane="bottomRight" activeCell="A114" sqref="A114"/>
    </sheetView>
  </sheetViews>
  <sheetFormatPr defaultRowHeight="15" outlineLevelCol="1" x14ac:dyDescent="0.25"/>
  <cols>
    <col min="1" max="1" width="11.5703125" style="20" customWidth="1"/>
    <col min="2" max="2" width="27.7109375" customWidth="1"/>
    <col min="3" max="3" width="11" style="14" customWidth="1"/>
    <col min="4" max="4" width="11" customWidth="1"/>
    <col min="5" max="5" width="2.28515625" customWidth="1"/>
    <col min="16" max="16" width="1.5703125" customWidth="1"/>
    <col min="17" max="17" width="2.85546875" customWidth="1" collapsed="1"/>
    <col min="18" max="27" width="8.85546875" hidden="1" customWidth="1" outlineLevel="1"/>
    <col min="28" max="28" width="1.5703125" customWidth="1"/>
  </cols>
  <sheetData>
    <row r="1" spans="1:38" ht="32.25" x14ac:dyDescent="0.25">
      <c r="A1" s="690" t="s">
        <v>11</v>
      </c>
      <c r="B1" s="71"/>
      <c r="C1" s="404"/>
      <c r="D1" s="71"/>
      <c r="E1" s="71"/>
      <c r="F1" s="71"/>
      <c r="G1" s="71"/>
      <c r="H1" s="71"/>
      <c r="I1" s="154" t="str">
        <f ca="1">Контроль!$Q$1</f>
        <v>Ошибок нет</v>
      </c>
      <c r="J1" s="71"/>
      <c r="K1" s="71"/>
      <c r="L1" s="71"/>
      <c r="M1" s="71"/>
      <c r="N1" s="71"/>
      <c r="O1" s="71"/>
      <c r="P1" s="71"/>
      <c r="Q1" s="391" t="s">
        <v>181</v>
      </c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660"/>
      <c r="AF1" s="661"/>
      <c r="AG1" s="662"/>
      <c r="AH1" s="274"/>
      <c r="AI1" s="71" t="s">
        <v>108</v>
      </c>
      <c r="AJ1" s="71" t="s">
        <v>109</v>
      </c>
      <c r="AK1" s="71" t="s">
        <v>110</v>
      </c>
      <c r="AL1" s="71" t="s">
        <v>111</v>
      </c>
    </row>
    <row r="2" spans="1:38" x14ac:dyDescent="0.25">
      <c r="A2" s="77" t="str">
        <f>Паспорт_ФМ_резидент!B7</f>
        <v>Название инвест. проект 01</v>
      </c>
      <c r="B2" s="71"/>
      <c r="C2" s="404"/>
      <c r="D2" s="71"/>
      <c r="E2" s="71"/>
      <c r="F2" s="384">
        <v>1</v>
      </c>
      <c r="G2" s="384">
        <v>2</v>
      </c>
      <c r="H2" s="384">
        <v>3</v>
      </c>
      <c r="I2" s="384">
        <v>4</v>
      </c>
      <c r="J2" s="384">
        <v>5</v>
      </c>
      <c r="K2" s="384">
        <v>6</v>
      </c>
      <c r="L2" s="384">
        <v>7</v>
      </c>
      <c r="M2" s="384">
        <v>8</v>
      </c>
      <c r="N2" s="384">
        <v>9</v>
      </c>
      <c r="O2" s="384">
        <v>10</v>
      </c>
      <c r="P2" s="71"/>
      <c r="Q2" s="159"/>
      <c r="R2" s="392">
        <v>11</v>
      </c>
      <c r="S2" s="392">
        <f>R2+1</f>
        <v>12</v>
      </c>
      <c r="T2" s="384">
        <f>S2+1</f>
        <v>13</v>
      </c>
      <c r="U2" s="384">
        <f t="shared" ref="U2:AA2" si="0">T2+1</f>
        <v>14</v>
      </c>
      <c r="V2" s="384">
        <f t="shared" si="0"/>
        <v>15</v>
      </c>
      <c r="W2" s="384">
        <f t="shared" si="0"/>
        <v>16</v>
      </c>
      <c r="X2" s="384">
        <f t="shared" si="0"/>
        <v>17</v>
      </c>
      <c r="Y2" s="384">
        <f t="shared" si="0"/>
        <v>18</v>
      </c>
      <c r="Z2" s="384">
        <f t="shared" si="0"/>
        <v>19</v>
      </c>
      <c r="AA2" s="384">
        <f t="shared" si="0"/>
        <v>20</v>
      </c>
      <c r="AB2" s="71"/>
      <c r="AC2" s="71"/>
      <c r="AD2" s="71"/>
      <c r="AE2" s="71">
        <v>28</v>
      </c>
      <c r="AF2" s="71">
        <v>236</v>
      </c>
      <c r="AG2" s="71">
        <v>163</v>
      </c>
      <c r="AH2" s="71">
        <v>246</v>
      </c>
      <c r="AI2" s="71" t="s">
        <v>107</v>
      </c>
      <c r="AJ2" s="71" t="s">
        <v>112</v>
      </c>
      <c r="AK2" s="71">
        <v>14</v>
      </c>
      <c r="AL2" s="71">
        <v>12</v>
      </c>
    </row>
    <row r="3" spans="1:38" s="18" customFormat="1" ht="28.5" x14ac:dyDescent="0.25">
      <c r="A3" s="78" t="s">
        <v>2</v>
      </c>
      <c r="B3" s="78" t="s">
        <v>3</v>
      </c>
      <c r="C3" s="127" t="s">
        <v>12</v>
      </c>
      <c r="D3" s="199" t="str">
        <f>CONCATENATE("Итого ",F3,"-",O3)</f>
        <v>Итого 2025-2034</v>
      </c>
      <c r="E3" s="155"/>
      <c r="F3" s="127">
        <f>YEAR(Паспорт_ФМ_резидент!C36)</f>
        <v>2025</v>
      </c>
      <c r="G3" s="127">
        <f>F3+1</f>
        <v>2026</v>
      </c>
      <c r="H3" s="127">
        <f t="shared" ref="H3:O3" si="1">G3+1</f>
        <v>2027</v>
      </c>
      <c r="I3" s="127">
        <f t="shared" si="1"/>
        <v>2028</v>
      </c>
      <c r="J3" s="127">
        <f t="shared" si="1"/>
        <v>2029</v>
      </c>
      <c r="K3" s="127">
        <f t="shared" si="1"/>
        <v>2030</v>
      </c>
      <c r="L3" s="127">
        <f t="shared" si="1"/>
        <v>2031</v>
      </c>
      <c r="M3" s="127">
        <f t="shared" si="1"/>
        <v>2032</v>
      </c>
      <c r="N3" s="127">
        <f t="shared" si="1"/>
        <v>2033</v>
      </c>
      <c r="O3" s="127">
        <f t="shared" si="1"/>
        <v>2034</v>
      </c>
      <c r="P3" s="155"/>
      <c r="Q3" s="160"/>
      <c r="R3" s="163">
        <f>O3+1</f>
        <v>2035</v>
      </c>
      <c r="S3" s="163">
        <f>R3+1</f>
        <v>2036</v>
      </c>
      <c r="T3" s="163">
        <f>S3+1</f>
        <v>2037</v>
      </c>
      <c r="U3" s="163">
        <f t="shared" ref="U3:AA3" si="2">T3+1</f>
        <v>2038</v>
      </c>
      <c r="V3" s="163">
        <f t="shared" si="2"/>
        <v>2039</v>
      </c>
      <c r="W3" s="163">
        <f t="shared" si="2"/>
        <v>2040</v>
      </c>
      <c r="X3" s="163">
        <f t="shared" si="2"/>
        <v>2041</v>
      </c>
      <c r="Y3" s="163">
        <f t="shared" si="2"/>
        <v>2042</v>
      </c>
      <c r="Z3" s="163">
        <f t="shared" si="2"/>
        <v>2043</v>
      </c>
      <c r="AA3" s="163">
        <f t="shared" si="2"/>
        <v>2044</v>
      </c>
      <c r="AB3" s="155"/>
      <c r="AC3" s="155"/>
      <c r="AD3" s="155"/>
      <c r="AE3" s="71">
        <v>28</v>
      </c>
      <c r="AF3" s="71">
        <v>0</v>
      </c>
      <c r="AG3" s="71">
        <v>163</v>
      </c>
      <c r="AH3" s="71">
        <v>246</v>
      </c>
      <c r="AI3" s="71"/>
      <c r="AJ3" s="71"/>
      <c r="AK3" s="71"/>
      <c r="AL3" s="71"/>
    </row>
    <row r="4" spans="1:38" ht="8.1" customHeight="1" x14ac:dyDescent="0.25">
      <c r="A4" s="641"/>
      <c r="B4" s="108"/>
      <c r="C4" s="128"/>
      <c r="D4" s="128"/>
      <c r="E4" s="71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71"/>
      <c r="Q4" s="159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71"/>
      <c r="AC4" s="71"/>
      <c r="AD4" s="128"/>
      <c r="AE4" s="71">
        <v>28</v>
      </c>
      <c r="AF4" s="71">
        <v>79</v>
      </c>
      <c r="AG4" s="71">
        <v>163</v>
      </c>
      <c r="AH4" s="71">
        <v>248</v>
      </c>
      <c r="AI4" s="71"/>
      <c r="AJ4" s="71"/>
      <c r="AK4" s="71"/>
      <c r="AL4" s="71"/>
    </row>
    <row r="5" spans="1:38" x14ac:dyDescent="0.25">
      <c r="A5" s="242"/>
      <c r="B5" s="211" t="s">
        <v>20</v>
      </c>
      <c r="C5" s="270" t="s">
        <v>19</v>
      </c>
      <c r="D5" s="228">
        <f>SUM(F5:R5)</f>
        <v>110</v>
      </c>
      <c r="E5" s="71"/>
      <c r="F5" s="230">
        <v>10</v>
      </c>
      <c r="G5" s="230">
        <v>10</v>
      </c>
      <c r="H5" s="230">
        <v>10</v>
      </c>
      <c r="I5" s="230">
        <v>10</v>
      </c>
      <c r="J5" s="230">
        <v>10</v>
      </c>
      <c r="K5" s="230">
        <v>10</v>
      </c>
      <c r="L5" s="230">
        <v>10</v>
      </c>
      <c r="M5" s="230">
        <v>10</v>
      </c>
      <c r="N5" s="230">
        <v>10</v>
      </c>
      <c r="O5" s="230">
        <v>10</v>
      </c>
      <c r="P5" s="71"/>
      <c r="Q5" s="159"/>
      <c r="R5" s="386">
        <v>10</v>
      </c>
      <c r="S5" s="386"/>
      <c r="T5" s="386"/>
      <c r="U5" s="386"/>
      <c r="V5" s="386"/>
      <c r="W5" s="386"/>
      <c r="X5" s="386"/>
      <c r="Y5" s="386"/>
      <c r="Z5" s="386"/>
      <c r="AA5" s="386"/>
      <c r="AB5" s="71"/>
      <c r="AC5" s="71"/>
      <c r="AD5" s="71"/>
    </row>
    <row r="6" spans="1:38" x14ac:dyDescent="0.25">
      <c r="A6" s="242"/>
      <c r="B6" s="211"/>
      <c r="C6" s="407"/>
      <c r="D6" s="149"/>
      <c r="E6" s="71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71"/>
      <c r="Q6" s="159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1:38" x14ac:dyDescent="0.25">
      <c r="A7" s="242"/>
      <c r="B7" s="211"/>
      <c r="C7" s="407"/>
      <c r="D7" s="149"/>
      <c r="E7" s="71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71"/>
      <c r="Q7" s="159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</row>
    <row r="8" spans="1:38" x14ac:dyDescent="0.25">
      <c r="A8" s="242"/>
      <c r="B8" s="211"/>
      <c r="C8" s="407"/>
      <c r="D8" s="149"/>
      <c r="E8" s="71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71"/>
      <c r="Q8" s="159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</row>
    <row r="9" spans="1:38" x14ac:dyDescent="0.25">
      <c r="A9" s="242"/>
      <c r="B9" s="211"/>
      <c r="C9" s="407"/>
      <c r="D9" s="149"/>
      <c r="E9" s="71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71"/>
      <c r="Q9" s="159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1:38" x14ac:dyDescent="0.25">
      <c r="A10" s="242"/>
      <c r="B10" s="211"/>
      <c r="C10" s="407"/>
      <c r="D10" s="149"/>
      <c r="E10" s="71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71"/>
      <c r="Q10" s="159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1:38" x14ac:dyDescent="0.25">
      <c r="A11" s="242"/>
      <c r="B11" s="211"/>
      <c r="C11" s="407"/>
      <c r="D11" s="149"/>
      <c r="E11" s="71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71"/>
      <c r="Q11" s="159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1:38" x14ac:dyDescent="0.25">
      <c r="A12" s="242"/>
      <c r="B12" s="211"/>
      <c r="C12" s="407"/>
      <c r="D12" s="149"/>
      <c r="E12" s="71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71"/>
      <c r="Q12" s="159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1:38" x14ac:dyDescent="0.25">
      <c r="A13" s="242"/>
      <c r="B13" s="211"/>
      <c r="C13" s="407"/>
      <c r="D13" s="149"/>
      <c r="E13" s="71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71"/>
      <c r="Q13" s="159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1:38" x14ac:dyDescent="0.25">
      <c r="A14" s="242"/>
      <c r="B14" s="211"/>
      <c r="C14" s="407"/>
      <c r="D14" s="149"/>
      <c r="E14" s="71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71"/>
      <c r="Q14" s="159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1:38" x14ac:dyDescent="0.25">
      <c r="A15" s="242"/>
      <c r="B15" s="149"/>
      <c r="C15" s="407"/>
      <c r="D15" s="149"/>
      <c r="E15" s="71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71"/>
      <c r="Q15" s="159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8" x14ac:dyDescent="0.25">
      <c r="A16" s="242"/>
      <c r="B16" s="149"/>
      <c r="C16" s="407"/>
      <c r="D16" s="149"/>
      <c r="E16" s="71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71"/>
      <c r="Q16" s="159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1:30" x14ac:dyDescent="0.25">
      <c r="A17" s="242"/>
      <c r="B17" s="149"/>
      <c r="C17" s="407"/>
      <c r="D17" s="149"/>
      <c r="E17" s="71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71"/>
      <c r="Q17" s="159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1:30" x14ac:dyDescent="0.25">
      <c r="A18" s="242"/>
      <c r="B18" s="149"/>
      <c r="C18" s="407"/>
      <c r="D18" s="149"/>
      <c r="E18" s="71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71"/>
      <c r="Q18" s="159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1:30" x14ac:dyDescent="0.25">
      <c r="A19" s="242"/>
      <c r="B19" s="149"/>
      <c r="C19" s="407"/>
      <c r="D19" s="149"/>
      <c r="E19" s="71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71"/>
      <c r="Q19" s="159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1:30" x14ac:dyDescent="0.25">
      <c r="A20" s="242"/>
      <c r="B20" s="149"/>
      <c r="C20" s="407"/>
      <c r="D20" s="149"/>
      <c r="E20" s="71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71"/>
      <c r="Q20" s="159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1:30" x14ac:dyDescent="0.25">
      <c r="A21" s="242"/>
      <c r="B21" s="149"/>
      <c r="C21" s="407"/>
      <c r="D21" s="149"/>
      <c r="E21" s="71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71"/>
      <c r="Q21" s="159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1:30" x14ac:dyDescent="0.25">
      <c r="A22" s="242"/>
      <c r="B22" s="149"/>
      <c r="C22" s="407"/>
      <c r="D22" s="149"/>
      <c r="E22" s="71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71"/>
      <c r="Q22" s="159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1:30" x14ac:dyDescent="0.25">
      <c r="A23" s="242"/>
      <c r="B23" s="149"/>
      <c r="C23" s="407"/>
      <c r="D23" s="149"/>
      <c r="E23" s="71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71"/>
      <c r="Q23" s="159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1:30" x14ac:dyDescent="0.25">
      <c r="A24" s="242"/>
      <c r="B24" s="149"/>
      <c r="C24" s="407"/>
      <c r="D24" s="149"/>
      <c r="E24" s="71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71"/>
      <c r="Q24" s="159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1:30" x14ac:dyDescent="0.25">
      <c r="A25" s="242"/>
      <c r="B25" s="149"/>
      <c r="C25" s="407"/>
      <c r="D25" s="149"/>
      <c r="E25" s="71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71"/>
      <c r="Q25" s="159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x14ac:dyDescent="0.25">
      <c r="A26" s="242"/>
      <c r="B26" s="149"/>
      <c r="C26" s="407"/>
      <c r="D26" s="149"/>
      <c r="E26" s="71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71"/>
      <c r="Q26" s="159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1:30" x14ac:dyDescent="0.25">
      <c r="A27" s="242"/>
      <c r="B27" s="149"/>
      <c r="C27" s="407"/>
      <c r="D27" s="149"/>
      <c r="E27" s="71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71"/>
      <c r="Q27" s="159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1:30" x14ac:dyDescent="0.25">
      <c r="A28" s="242"/>
      <c r="B28" s="149"/>
      <c r="C28" s="407"/>
      <c r="D28" s="149"/>
      <c r="E28" s="71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71"/>
      <c r="Q28" s="159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1:30" x14ac:dyDescent="0.25">
      <c r="A29" s="242"/>
      <c r="B29" s="149"/>
      <c r="C29" s="407"/>
      <c r="D29" s="149"/>
      <c r="E29" s="71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71"/>
      <c r="Q29" s="159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1:30" x14ac:dyDescent="0.25">
      <c r="A30" s="242"/>
      <c r="B30" s="149"/>
      <c r="C30" s="407"/>
      <c r="D30" s="149"/>
      <c r="E30" s="71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71"/>
      <c r="Q30" s="159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1:30" x14ac:dyDescent="0.25">
      <c r="A31" s="242"/>
      <c r="B31" s="149"/>
      <c r="C31" s="407"/>
      <c r="D31" s="149"/>
      <c r="E31" s="71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71"/>
      <c r="Q31" s="159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1:30" x14ac:dyDescent="0.25">
      <c r="A32" s="242"/>
      <c r="B32" s="149"/>
      <c r="C32" s="407"/>
      <c r="D32" s="149"/>
      <c r="E32" s="71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71"/>
      <c r="Q32" s="159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1:30" x14ac:dyDescent="0.25">
      <c r="A33" s="242"/>
      <c r="B33" s="149"/>
      <c r="C33" s="407"/>
      <c r="D33" s="149"/>
      <c r="E33" s="71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71"/>
      <c r="Q33" s="159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1:30" x14ac:dyDescent="0.25">
      <c r="A34" s="242"/>
      <c r="B34" s="149"/>
      <c r="C34" s="407"/>
      <c r="D34" s="149"/>
      <c r="E34" s="71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71"/>
      <c r="Q34" s="159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1:30" x14ac:dyDescent="0.25">
      <c r="A35" s="242"/>
      <c r="B35" s="149"/>
      <c r="C35" s="407"/>
      <c r="D35" s="149"/>
      <c r="E35" s="71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71"/>
      <c r="Q35" s="159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</row>
    <row r="36" spans="1:30" x14ac:dyDescent="0.25">
      <c r="A36" s="242"/>
      <c r="B36" s="149"/>
      <c r="C36" s="407"/>
      <c r="D36" s="149"/>
      <c r="E36" s="71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71"/>
      <c r="Q36" s="159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</row>
    <row r="37" spans="1:30" x14ac:dyDescent="0.25">
      <c r="A37" s="242"/>
      <c r="B37" s="149"/>
      <c r="C37" s="407"/>
      <c r="D37" s="149"/>
      <c r="E37" s="71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71"/>
      <c r="Q37" s="159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</row>
    <row r="38" spans="1:30" x14ac:dyDescent="0.25">
      <c r="A38" s="242"/>
      <c r="B38" s="149"/>
      <c r="C38" s="407"/>
      <c r="D38" s="149"/>
      <c r="E38" s="71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71"/>
      <c r="Q38" s="159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</row>
    <row r="39" spans="1:30" x14ac:dyDescent="0.25">
      <c r="A39" s="242"/>
      <c r="B39" s="149"/>
      <c r="C39" s="407"/>
      <c r="D39" s="149"/>
      <c r="E39" s="71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71"/>
      <c r="Q39" s="159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</row>
    <row r="40" spans="1:30" x14ac:dyDescent="0.25">
      <c r="A40" s="242"/>
      <c r="B40" s="149"/>
      <c r="C40" s="407"/>
      <c r="D40" s="149"/>
      <c r="E40" s="71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71"/>
      <c r="Q40" s="159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</row>
    <row r="41" spans="1:30" x14ac:dyDescent="0.25">
      <c r="A41" s="242"/>
      <c r="B41" s="149"/>
      <c r="C41" s="407"/>
      <c r="D41" s="149"/>
      <c r="E41" s="71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71"/>
      <c r="Q41" s="159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</row>
    <row r="42" spans="1:30" x14ac:dyDescent="0.25">
      <c r="A42" s="242"/>
      <c r="B42" s="149"/>
      <c r="C42" s="407"/>
      <c r="D42" s="149"/>
      <c r="E42" s="71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71"/>
      <c r="Q42" s="159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</row>
    <row r="43" spans="1:30" x14ac:dyDescent="0.25">
      <c r="A43" s="242"/>
      <c r="B43" s="149"/>
      <c r="C43" s="407"/>
      <c r="D43" s="149"/>
      <c r="E43" s="71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71"/>
      <c r="Q43" s="159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</row>
    <row r="44" spans="1:30" x14ac:dyDescent="0.25">
      <c r="A44" s="242"/>
      <c r="B44" s="149"/>
      <c r="C44" s="407"/>
      <c r="D44" s="149"/>
      <c r="E44" s="71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71"/>
      <c r="Q44" s="159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</row>
    <row r="45" spans="1:30" x14ac:dyDescent="0.25">
      <c r="A45" s="242"/>
      <c r="B45" s="149"/>
      <c r="C45" s="407"/>
      <c r="D45" s="149"/>
      <c r="E45" s="71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71"/>
      <c r="Q45" s="159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</row>
    <row r="46" spans="1:30" x14ac:dyDescent="0.25">
      <c r="A46" s="242"/>
      <c r="B46" s="149"/>
      <c r="C46" s="407"/>
      <c r="D46" s="149"/>
      <c r="E46" s="71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71"/>
      <c r="Q46" s="159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</row>
    <row r="47" spans="1:30" x14ac:dyDescent="0.25">
      <c r="A47" s="242"/>
      <c r="B47" s="149"/>
      <c r="C47" s="407"/>
      <c r="D47" s="149"/>
      <c r="E47" s="71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71"/>
      <c r="Q47" s="159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</row>
    <row r="48" spans="1:30" x14ac:dyDescent="0.25">
      <c r="A48" s="242"/>
      <c r="B48" s="149"/>
      <c r="C48" s="407"/>
      <c r="D48" s="149"/>
      <c r="E48" s="71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71"/>
      <c r="Q48" s="159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</row>
    <row r="49" spans="1:30" x14ac:dyDescent="0.25">
      <c r="A49" s="242"/>
      <c r="B49" s="149"/>
      <c r="C49" s="407"/>
      <c r="D49" s="149"/>
      <c r="E49" s="71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71"/>
      <c r="Q49" s="159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1:30" x14ac:dyDescent="0.25">
      <c r="A50" s="242"/>
      <c r="B50" s="149"/>
      <c r="C50" s="407"/>
      <c r="D50" s="149"/>
      <c r="E50" s="71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71"/>
      <c r="Q50" s="159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</row>
    <row r="51" spans="1:30" x14ac:dyDescent="0.25">
      <c r="A51" s="242"/>
      <c r="B51" s="149"/>
      <c r="C51" s="407"/>
      <c r="D51" s="149"/>
      <c r="E51" s="71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71"/>
      <c r="Q51" s="159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</row>
    <row r="52" spans="1:30" x14ac:dyDescent="0.25">
      <c r="A52" s="242"/>
      <c r="B52" s="149"/>
      <c r="C52" s="407"/>
      <c r="D52" s="149"/>
      <c r="E52" s="71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71"/>
      <c r="Q52" s="159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</row>
    <row r="53" spans="1:30" x14ac:dyDescent="0.25">
      <c r="A53" s="242"/>
      <c r="B53" s="149"/>
      <c r="C53" s="407"/>
      <c r="D53" s="149"/>
      <c r="E53" s="71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71"/>
      <c r="Q53" s="159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</row>
    <row r="54" spans="1:30" x14ac:dyDescent="0.25">
      <c r="A54" s="242"/>
      <c r="B54" s="149"/>
      <c r="C54" s="407"/>
      <c r="D54" s="149"/>
      <c r="E54" s="71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71"/>
      <c r="Q54" s="159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</row>
    <row r="55" spans="1:30" x14ac:dyDescent="0.25">
      <c r="A55" s="242"/>
      <c r="B55" s="149"/>
      <c r="C55" s="407"/>
      <c r="D55" s="149"/>
      <c r="E55" s="71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71"/>
      <c r="Q55" s="159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</row>
    <row r="56" spans="1:30" x14ac:dyDescent="0.25">
      <c r="A56" s="242"/>
      <c r="B56" s="149"/>
      <c r="C56" s="407"/>
      <c r="D56" s="149"/>
      <c r="E56" s="71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71"/>
      <c r="Q56" s="159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</row>
    <row r="57" spans="1:30" x14ac:dyDescent="0.25">
      <c r="A57" s="242"/>
      <c r="B57" s="149"/>
      <c r="C57" s="407"/>
      <c r="D57" s="149"/>
      <c r="E57" s="71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71"/>
      <c r="Q57" s="159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</row>
    <row r="58" spans="1:30" x14ac:dyDescent="0.25">
      <c r="A58" s="242"/>
      <c r="B58" s="149"/>
      <c r="C58" s="407"/>
      <c r="D58" s="149"/>
      <c r="E58" s="71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71"/>
      <c r="Q58" s="159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</row>
    <row r="59" spans="1:30" x14ac:dyDescent="0.25">
      <c r="A59" s="242"/>
      <c r="B59" s="149"/>
      <c r="C59" s="407"/>
      <c r="D59" s="149"/>
      <c r="E59" s="71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71"/>
      <c r="Q59" s="159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</row>
    <row r="60" spans="1:30" x14ac:dyDescent="0.25">
      <c r="A60" s="242"/>
      <c r="B60" s="149"/>
      <c r="C60" s="407"/>
      <c r="D60" s="149"/>
      <c r="E60" s="71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71"/>
      <c r="Q60" s="159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</row>
    <row r="61" spans="1:30" x14ac:dyDescent="0.25">
      <c r="A61" s="242"/>
      <c r="B61" s="149"/>
      <c r="C61" s="407"/>
      <c r="D61" s="149"/>
      <c r="E61" s="71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71"/>
      <c r="Q61" s="159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</row>
    <row r="62" spans="1:30" x14ac:dyDescent="0.25">
      <c r="A62" s="242"/>
      <c r="B62" s="149"/>
      <c r="C62" s="407"/>
      <c r="D62" s="149"/>
      <c r="E62" s="71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71"/>
      <c r="Q62" s="159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</row>
    <row r="63" spans="1:30" x14ac:dyDescent="0.25">
      <c r="A63" s="242"/>
      <c r="B63" s="149"/>
      <c r="C63" s="407"/>
      <c r="D63" s="149"/>
      <c r="E63" s="71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71"/>
      <c r="Q63" s="159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</row>
    <row r="64" spans="1:30" x14ac:dyDescent="0.25">
      <c r="A64" s="242"/>
      <c r="B64" s="149"/>
      <c r="C64" s="407"/>
      <c r="D64" s="149"/>
      <c r="E64" s="71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71"/>
      <c r="Q64" s="159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</row>
    <row r="65" spans="1:30" x14ac:dyDescent="0.25">
      <c r="A65" s="242"/>
      <c r="B65" s="149"/>
      <c r="C65" s="407"/>
      <c r="D65" s="149"/>
      <c r="E65" s="71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71"/>
      <c r="Q65" s="159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</row>
    <row r="66" spans="1:30" x14ac:dyDescent="0.25">
      <c r="A66" s="242"/>
      <c r="B66" s="149"/>
      <c r="C66" s="407"/>
      <c r="D66" s="149"/>
      <c r="E66" s="71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71"/>
      <c r="Q66" s="159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</row>
    <row r="67" spans="1:30" x14ac:dyDescent="0.25">
      <c r="A67" s="242"/>
      <c r="B67" s="149"/>
      <c r="C67" s="407"/>
      <c r="D67" s="149"/>
      <c r="E67" s="71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71"/>
      <c r="Q67" s="159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</row>
    <row r="68" spans="1:30" x14ac:dyDescent="0.25">
      <c r="A68" s="242"/>
      <c r="B68" s="149"/>
      <c r="C68" s="407"/>
      <c r="D68" s="149"/>
      <c r="E68" s="71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71"/>
      <c r="Q68" s="159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</row>
    <row r="69" spans="1:30" x14ac:dyDescent="0.25">
      <c r="A69" s="242"/>
      <c r="B69" s="149"/>
      <c r="C69" s="407"/>
      <c r="D69" s="149"/>
      <c r="E69" s="71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71"/>
      <c r="Q69" s="159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</row>
    <row r="70" spans="1:30" x14ac:dyDescent="0.25">
      <c r="A70" s="242"/>
      <c r="B70" s="149"/>
      <c r="C70" s="407"/>
      <c r="D70" s="149"/>
      <c r="E70" s="71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71"/>
      <c r="Q70" s="159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</row>
    <row r="71" spans="1:30" x14ac:dyDescent="0.25">
      <c r="A71" s="242"/>
      <c r="B71" s="149"/>
      <c r="C71" s="407"/>
      <c r="D71" s="149"/>
      <c r="E71" s="71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71"/>
      <c r="Q71" s="159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</row>
    <row r="72" spans="1:30" x14ac:dyDescent="0.25">
      <c r="A72" s="242"/>
      <c r="B72" s="149"/>
      <c r="C72" s="407"/>
      <c r="D72" s="149"/>
      <c r="E72" s="71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71"/>
      <c r="Q72" s="159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</row>
    <row r="73" spans="1:30" x14ac:dyDescent="0.25">
      <c r="A73" s="242"/>
      <c r="B73" s="149"/>
      <c r="C73" s="407"/>
      <c r="D73" s="149"/>
      <c r="E73" s="71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71"/>
      <c r="Q73" s="159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</row>
    <row r="74" spans="1:30" x14ac:dyDescent="0.25">
      <c r="A74" s="242"/>
      <c r="B74" s="149"/>
      <c r="C74" s="407"/>
      <c r="D74" s="149"/>
      <c r="E74" s="71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71"/>
      <c r="Q74" s="159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</row>
    <row r="75" spans="1:30" x14ac:dyDescent="0.25">
      <c r="A75" s="242"/>
      <c r="B75" s="149"/>
      <c r="C75" s="407"/>
      <c r="D75" s="149"/>
      <c r="E75" s="71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71"/>
      <c r="Q75" s="159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</row>
    <row r="76" spans="1:30" x14ac:dyDescent="0.25">
      <c r="A76" s="242"/>
      <c r="B76" s="149"/>
      <c r="C76" s="407"/>
      <c r="D76" s="149"/>
      <c r="E76" s="71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71"/>
      <c r="Q76" s="159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</row>
    <row r="77" spans="1:30" x14ac:dyDescent="0.25">
      <c r="A77" s="242"/>
      <c r="B77" s="149"/>
      <c r="C77" s="407"/>
      <c r="D77" s="149"/>
      <c r="E77" s="71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71"/>
      <c r="Q77" s="159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</row>
    <row r="78" spans="1:30" x14ac:dyDescent="0.25">
      <c r="A78" s="242"/>
      <c r="B78" s="149"/>
      <c r="C78" s="407"/>
      <c r="D78" s="149"/>
      <c r="E78" s="71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71"/>
      <c r="Q78" s="159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</row>
    <row r="79" spans="1:30" x14ac:dyDescent="0.25">
      <c r="A79" s="242"/>
      <c r="B79" s="149"/>
      <c r="C79" s="407"/>
      <c r="D79" s="149"/>
      <c r="E79" s="71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71"/>
      <c r="Q79" s="159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</row>
    <row r="80" spans="1:30" x14ac:dyDescent="0.25">
      <c r="A80" s="242"/>
      <c r="B80" s="149"/>
      <c r="C80" s="407"/>
      <c r="D80" s="149"/>
      <c r="E80" s="71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71"/>
      <c r="Q80" s="159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</row>
    <row r="81" spans="1:30" x14ac:dyDescent="0.25">
      <c r="A81" s="242"/>
      <c r="B81" s="149"/>
      <c r="C81" s="407"/>
      <c r="D81" s="149"/>
      <c r="E81" s="71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71"/>
      <c r="Q81" s="159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</row>
    <row r="82" spans="1:30" x14ac:dyDescent="0.25">
      <c r="A82" s="242"/>
      <c r="B82" s="149"/>
      <c r="C82" s="407"/>
      <c r="D82" s="149"/>
      <c r="E82" s="71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71"/>
      <c r="Q82" s="159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</row>
    <row r="83" spans="1:30" x14ac:dyDescent="0.25">
      <c r="A83" s="242"/>
      <c r="B83" s="149"/>
      <c r="C83" s="407"/>
      <c r="D83" s="149"/>
      <c r="E83" s="71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71"/>
      <c r="Q83" s="159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</row>
    <row r="84" spans="1:30" x14ac:dyDescent="0.25">
      <c r="A84" s="242"/>
      <c r="B84" s="149"/>
      <c r="C84" s="407"/>
      <c r="D84" s="149"/>
      <c r="E84" s="71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71"/>
      <c r="Q84" s="159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</row>
    <row r="85" spans="1:30" x14ac:dyDescent="0.25">
      <c r="A85" s="242"/>
      <c r="B85" s="149"/>
      <c r="C85" s="407"/>
      <c r="D85" s="149"/>
      <c r="E85" s="71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71"/>
      <c r="Q85" s="159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</row>
    <row r="86" spans="1:30" x14ac:dyDescent="0.25">
      <c r="A86" s="242"/>
      <c r="B86" s="149"/>
      <c r="C86" s="407"/>
      <c r="D86" s="149"/>
      <c r="E86" s="71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71"/>
      <c r="Q86" s="159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</row>
    <row r="87" spans="1:30" x14ac:dyDescent="0.25">
      <c r="A87" s="242"/>
      <c r="B87" s="149"/>
      <c r="C87" s="407"/>
      <c r="D87" s="149"/>
      <c r="E87" s="71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71"/>
      <c r="Q87" s="159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</row>
    <row r="88" spans="1:30" x14ac:dyDescent="0.25">
      <c r="A88" s="242"/>
      <c r="B88" s="149"/>
      <c r="C88" s="407"/>
      <c r="D88" s="149"/>
      <c r="E88" s="71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71"/>
      <c r="Q88" s="159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</row>
    <row r="89" spans="1:30" x14ac:dyDescent="0.25">
      <c r="A89" s="242"/>
      <c r="B89" s="149"/>
      <c r="C89" s="407"/>
      <c r="D89" s="149"/>
      <c r="E89" s="71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71"/>
      <c r="Q89" s="159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</row>
    <row r="90" spans="1:30" x14ac:dyDescent="0.25">
      <c r="A90" s="242"/>
      <c r="B90" s="149"/>
      <c r="C90" s="407"/>
      <c r="D90" s="149"/>
      <c r="E90" s="71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71"/>
      <c r="Q90" s="159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</row>
    <row r="91" spans="1:30" x14ac:dyDescent="0.25">
      <c r="A91" s="242"/>
      <c r="B91" s="149"/>
      <c r="C91" s="407"/>
      <c r="D91" s="149"/>
      <c r="E91" s="71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71"/>
      <c r="Q91" s="159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</row>
    <row r="92" spans="1:30" x14ac:dyDescent="0.25">
      <c r="A92" s="242"/>
      <c r="B92" s="149"/>
      <c r="C92" s="407"/>
      <c r="D92" s="149"/>
      <c r="E92" s="71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71"/>
      <c r="Q92" s="159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</row>
    <row r="93" spans="1:30" x14ac:dyDescent="0.25">
      <c r="A93" s="242"/>
      <c r="B93" s="149"/>
      <c r="C93" s="407"/>
      <c r="D93" s="149"/>
      <c r="E93" s="71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71"/>
      <c r="Q93" s="159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</row>
    <row r="94" spans="1:30" x14ac:dyDescent="0.25">
      <c r="A94" s="242"/>
      <c r="B94" s="149"/>
      <c r="C94" s="407"/>
      <c r="D94" s="149"/>
      <c r="E94" s="71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71"/>
      <c r="Q94" s="159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</row>
    <row r="95" spans="1:30" x14ac:dyDescent="0.25">
      <c r="A95" s="242"/>
      <c r="B95" s="149"/>
      <c r="C95" s="407"/>
      <c r="D95" s="149"/>
      <c r="E95" s="71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71"/>
      <c r="Q95" s="159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</row>
    <row r="96" spans="1:30" x14ac:dyDescent="0.25">
      <c r="A96" s="242"/>
      <c r="B96" s="149"/>
      <c r="C96" s="407"/>
      <c r="D96" s="149"/>
      <c r="E96" s="71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71"/>
      <c r="Q96" s="159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</row>
    <row r="97" spans="1:30" x14ac:dyDescent="0.25">
      <c r="A97" s="242"/>
      <c r="B97" s="149"/>
      <c r="C97" s="407"/>
      <c r="D97" s="149"/>
      <c r="E97" s="71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71"/>
      <c r="Q97" s="159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</row>
    <row r="98" spans="1:30" x14ac:dyDescent="0.25">
      <c r="A98" s="242"/>
      <c r="B98" s="149"/>
      <c r="C98" s="407"/>
      <c r="D98" s="149"/>
      <c r="E98" s="71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71"/>
      <c r="Q98" s="159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</row>
    <row r="99" spans="1:30" x14ac:dyDescent="0.25">
      <c r="A99" s="242"/>
      <c r="B99" s="149"/>
      <c r="C99" s="407"/>
      <c r="D99" s="149"/>
      <c r="E99" s="71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71"/>
      <c r="Q99" s="159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</row>
    <row r="100" spans="1:30" x14ac:dyDescent="0.25">
      <c r="A100" s="242"/>
      <c r="B100" s="149"/>
      <c r="C100" s="407"/>
      <c r="D100" s="149"/>
      <c r="E100" s="71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71"/>
      <c r="Q100" s="159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</row>
    <row r="101" spans="1:30" x14ac:dyDescent="0.25">
      <c r="A101" s="242"/>
      <c r="B101" s="149"/>
      <c r="C101" s="407"/>
      <c r="D101" s="149"/>
      <c r="E101" s="71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71"/>
      <c r="Q101" s="159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</row>
    <row r="102" spans="1:30" x14ac:dyDescent="0.25">
      <c r="A102" s="242"/>
      <c r="B102" s="149"/>
      <c r="C102" s="407"/>
      <c r="D102" s="149"/>
      <c r="E102" s="71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71"/>
      <c r="Q102" s="159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</row>
    <row r="103" spans="1:30" x14ac:dyDescent="0.25">
      <c r="A103" s="242"/>
      <c r="B103" s="149"/>
      <c r="C103" s="407"/>
      <c r="D103" s="149"/>
      <c r="E103" s="71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71"/>
      <c r="Q103" s="159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</row>
    <row r="104" spans="1:30" x14ac:dyDescent="0.25">
      <c r="A104" s="242"/>
      <c r="B104" s="149"/>
      <c r="C104" s="407"/>
      <c r="D104" s="149"/>
      <c r="E104" s="71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71"/>
      <c r="Q104" s="159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</row>
    <row r="105" spans="1:30" x14ac:dyDescent="0.25">
      <c r="A105" s="242"/>
      <c r="B105" s="149"/>
      <c r="C105" s="407"/>
      <c r="D105" s="149"/>
      <c r="E105" s="71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71"/>
      <c r="Q105" s="159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</row>
    <row r="106" spans="1:30" x14ac:dyDescent="0.25">
      <c r="A106" s="242"/>
      <c r="B106" s="149"/>
      <c r="C106" s="407"/>
      <c r="D106" s="149"/>
      <c r="E106" s="71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71"/>
      <c r="Q106" s="159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</row>
    <row r="107" spans="1:30" x14ac:dyDescent="0.25">
      <c r="A107" s="242"/>
      <c r="B107" s="149"/>
      <c r="C107" s="407"/>
      <c r="D107" s="149"/>
      <c r="E107" s="71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71"/>
      <c r="Q107" s="159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</row>
    <row r="108" spans="1:30" x14ac:dyDescent="0.25">
      <c r="A108" s="242"/>
      <c r="B108" s="149"/>
      <c r="C108" s="407"/>
      <c r="D108" s="149"/>
      <c r="E108" s="71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71"/>
      <c r="Q108" s="159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</row>
    <row r="109" spans="1:30" x14ac:dyDescent="0.25">
      <c r="A109" s="242"/>
      <c r="B109" s="149"/>
      <c r="C109" s="407"/>
      <c r="D109" s="149"/>
      <c r="E109" s="71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71"/>
      <c r="Q109" s="159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</row>
    <row r="110" spans="1:30" x14ac:dyDescent="0.25">
      <c r="A110" s="242"/>
      <c r="B110" s="149"/>
      <c r="C110" s="407"/>
      <c r="D110" s="149"/>
      <c r="E110" s="71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71"/>
      <c r="Q110" s="159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</row>
    <row r="111" spans="1:30" x14ac:dyDescent="0.25">
      <c r="A111" s="242"/>
      <c r="B111" s="149"/>
      <c r="C111" s="407"/>
      <c r="D111" s="149"/>
      <c r="E111" s="71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71"/>
      <c r="Q111" s="159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</row>
    <row r="112" spans="1:30" x14ac:dyDescent="0.25">
      <c r="A112" s="242"/>
      <c r="B112" s="149"/>
      <c r="C112" s="407"/>
      <c r="D112" s="149"/>
      <c r="E112" s="71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71"/>
      <c r="Q112" s="159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</row>
    <row r="113" spans="1:30" x14ac:dyDescent="0.25">
      <c r="A113" s="242"/>
      <c r="B113" s="149"/>
      <c r="C113" s="407"/>
      <c r="D113" s="149"/>
      <c r="E113" s="71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71"/>
      <c r="Q113" s="159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</row>
    <row r="114" spans="1:30" x14ac:dyDescent="0.25">
      <c r="A114" s="242"/>
      <c r="B114" s="149"/>
      <c r="C114" s="407"/>
      <c r="D114" s="149"/>
      <c r="E114" s="71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71"/>
      <c r="Q114" s="159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</row>
    <row r="115" spans="1:30" x14ac:dyDescent="0.25">
      <c r="A115" s="242"/>
      <c r="B115" s="149"/>
      <c r="C115" s="407"/>
      <c r="D115" s="149"/>
      <c r="E115" s="71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71"/>
      <c r="Q115" s="159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</row>
    <row r="116" spans="1:30" x14ac:dyDescent="0.25">
      <c r="A116" s="242"/>
      <c r="B116" s="149"/>
      <c r="C116" s="407"/>
      <c r="D116" s="149"/>
      <c r="E116" s="71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71"/>
      <c r="Q116" s="159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</row>
    <row r="118" spans="1:30" x14ac:dyDescent="0.25">
      <c r="B118" s="174" t="str" cm="1">
        <f t="array" aca="1" ref="B118" ca="1">HYPERLINK(CELL("адрес",БДР!$A$1),"Перейти на лист БДР")</f>
        <v>Перейти на лист БДР</v>
      </c>
    </row>
    <row r="119" spans="1:30" x14ac:dyDescent="0.25">
      <c r="B119" s="174" t="str" cm="1">
        <f t="array" aca="1" ref="B119" ca="1">HYPERLINK(CELL("адрес",БДДС!$A$1),"Перейти на лист БДДС")</f>
        <v>Перейти на лист БДДС</v>
      </c>
    </row>
    <row r="120" spans="1:30" x14ac:dyDescent="0.25">
      <c r="B120" s="174" t="str" cm="1">
        <f t="array" aca="1" ref="B120" ca="1">HYPERLINK(CELL("адрес",Баланс!$A$1),"Перейти на лист Баланс")</f>
        <v>Перейти на лист Баланс</v>
      </c>
    </row>
    <row r="121" spans="1:30" x14ac:dyDescent="0.25">
      <c r="B121" s="174" t="str" cm="1">
        <f t="array" aca="1" ref="B121" ca="1">HYPERLINK(CELL("адрес",Дашборд_ИтогТабл!$A$1),"Перейти на лист Дашборд_1")</f>
        <v>Перейти на лист Дашборд_1</v>
      </c>
    </row>
    <row r="122" spans="1:30" ht="30" x14ac:dyDescent="0.25">
      <c r="B122" s="174" t="str" cm="1">
        <f t="array" aca="1" ref="B122" ca="1">HYPERLINK(CELL("адрес",Дашборд_Основной!$A$1),"Перейти на лист Дашборд_Общий")</f>
        <v>Перейти на лист Дашборд_Общий</v>
      </c>
    </row>
    <row r="123" spans="1:30" ht="30" x14ac:dyDescent="0.25">
      <c r="B123" s="174" t="str" cm="1">
        <f t="array" aca="1" ref="B123" ca="1">HYPERLINK(CELL("адрес",Дашборд_налоги!$A$1),"Перейти на лист Дашборд_Налоги")</f>
        <v>Перейти на лист Дашборд_Налоги</v>
      </c>
    </row>
    <row r="124" spans="1:30" x14ac:dyDescent="0.25">
      <c r="B124" s="2"/>
    </row>
    <row r="125" spans="1:30" x14ac:dyDescent="0.25">
      <c r="B125" s="2"/>
    </row>
  </sheetData>
  <hyperlinks>
    <hyperlink ref="I1" location="Контроль!A1" display="Контроль!A1" xr:uid="{98D66D0D-4DDA-4D11-BB12-7755E800B1C5}"/>
  </hyperlinks>
  <pageMargins left="0.70866141732283472" right="0.70866141732283472" top="0.74803149606299213" bottom="0.74803149606299213" header="0.31496062992125984" footer="0.31496062992125984"/>
  <pageSetup paperSize="9" scale="82" fitToHeight="7" orientation="landscape" r:id="rId1"/>
  <headerFooter>
    <oddFooter>&amp;C&amp;9Страница  &amp;P из &amp;N&amp;R&amp;G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9A29-4831-4F76-A152-054D0B2128E3}">
  <sheetPr codeName="Лист26">
    <tabColor theme="2" tint="-0.249977111117893"/>
    <outlinePr summaryRight="0"/>
    <pageSetUpPr fitToPage="1"/>
  </sheetPr>
  <dimension ref="A1:U57"/>
  <sheetViews>
    <sheetView showGridLines="0" zoomScale="85" zoomScaleNormal="85" workbookViewId="0">
      <pane xSplit="1" ySplit="2" topLeftCell="B3" activePane="bottomRight" state="frozen"/>
      <selection activeCell="C8" sqref="C8"/>
      <selection pane="topRight" activeCell="C8" sqref="C8"/>
      <selection pane="bottomLeft" activeCell="C8" sqref="C8"/>
      <selection pane="bottomRight"/>
    </sheetView>
  </sheetViews>
  <sheetFormatPr defaultColWidth="0" defaultRowHeight="15" zeroHeight="1" x14ac:dyDescent="0.25"/>
  <cols>
    <col min="1" max="1" width="3.7109375" style="22" customWidth="1"/>
    <col min="2" max="2" width="11" style="21" customWidth="1"/>
    <col min="3" max="3" width="11" style="19" customWidth="1"/>
    <col min="4" max="20" width="8.85546875" style="19" customWidth="1"/>
    <col min="21" max="21" width="0" style="19" hidden="1" customWidth="1"/>
    <col min="22" max="16384" width="8.85546875" style="19" hidden="1"/>
  </cols>
  <sheetData>
    <row r="1" spans="1:17" ht="18.75" x14ac:dyDescent="0.25">
      <c r="A1" s="695" t="s">
        <v>312</v>
      </c>
      <c r="B1" s="666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663" t="str">
        <f ca="1">Контроль!$Q$1</f>
        <v>Ошибок нет</v>
      </c>
      <c r="O1" s="159"/>
      <c r="P1" s="159"/>
      <c r="Q1" s="663"/>
    </row>
    <row r="2" spans="1:17" x14ac:dyDescent="0.25">
      <c r="A2" s="664" t="str">
        <f>Паспорт_ФМ_резидент!B7</f>
        <v>Название инвест. проект 01</v>
      </c>
      <c r="B2" s="666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x14ac:dyDescent="0.25">
      <c r="A3" s="665"/>
      <c r="B3" s="666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</row>
    <row r="4" spans="1:17" x14ac:dyDescent="0.25">
      <c r="A4" s="665"/>
      <c r="B4" s="666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</row>
    <row r="5" spans="1:17" x14ac:dyDescent="0.25">
      <c r="A5" s="665"/>
      <c r="B5" s="666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</row>
    <row r="6" spans="1:17" x14ac:dyDescent="0.25">
      <c r="A6" s="665"/>
      <c r="B6" s="666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spans="1:17" x14ac:dyDescent="0.25">
      <c r="A7" s="665"/>
      <c r="B7" s="666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</row>
    <row r="8" spans="1:17" x14ac:dyDescent="0.25">
      <c r="A8" s="665"/>
      <c r="B8" s="666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</row>
    <row r="9" spans="1:17" x14ac:dyDescent="0.25">
      <c r="A9" s="665"/>
      <c r="B9" s="666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</row>
    <row r="10" spans="1:17" x14ac:dyDescent="0.25">
      <c r="A10" s="665"/>
      <c r="B10" s="666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</row>
    <row r="11" spans="1:17" x14ac:dyDescent="0.25">
      <c r="A11" s="665"/>
      <c r="B11" s="666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</row>
    <row r="12" spans="1:17" x14ac:dyDescent="0.25">
      <c r="A12" s="665"/>
      <c r="B12" s="666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</row>
    <row r="13" spans="1:17" x14ac:dyDescent="0.25">
      <c r="A13" s="665"/>
      <c r="B13" s="666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</row>
    <row r="14" spans="1:17" x14ac:dyDescent="0.25">
      <c r="A14" s="665"/>
      <c r="B14" s="666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</row>
    <row r="15" spans="1:17" x14ac:dyDescent="0.25">
      <c r="A15" s="665"/>
      <c r="B15" s="666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</row>
    <row r="16" spans="1:17" x14ac:dyDescent="0.25">
      <c r="A16" s="665"/>
      <c r="B16" s="666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</row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hyperlinks>
    <hyperlink ref="N1" location="Контроль!A1" display="Контроль!A1" xr:uid="{5138B64C-D2F2-4E89-B991-D0CC843CEEFA}"/>
  </hyperlinks>
  <printOptions horizontalCentered="1" verticalCentered="1"/>
  <pageMargins left="0.25" right="0.25" top="0.75" bottom="0.75" header="0.3" footer="0.3"/>
  <pageSetup paperSize="9" scale="58" orientation="landscape" r:id="rId1"/>
  <headerFooter>
    <oddFooter>&amp;C&amp;9Страница  &amp;P из &amp;N&amp;R&amp;G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2F37B-92B0-4A2A-AD98-E62F09B81BDB}">
  <sheetPr codeName="Лист27">
    <tabColor theme="2" tint="-0.249977111117893"/>
    <pageSetUpPr fitToPage="1"/>
  </sheetPr>
  <dimension ref="A1:I186"/>
  <sheetViews>
    <sheetView zoomScale="115" zoomScaleNormal="115" workbookViewId="0">
      <pane xSplit="1" ySplit="5" topLeftCell="B6" activePane="bottomRight" state="frozen"/>
      <selection activeCell="C8" sqref="C8"/>
      <selection pane="topRight" activeCell="C8" sqref="C8"/>
      <selection pane="bottomLeft" activeCell="C8" sqref="C8"/>
      <selection pane="bottomRight" activeCell="F8" sqref="F8"/>
    </sheetView>
  </sheetViews>
  <sheetFormatPr defaultColWidth="0" defaultRowHeight="15" zeroHeight="1" x14ac:dyDescent="0.25"/>
  <cols>
    <col min="1" max="1" width="10.5703125" customWidth="1"/>
    <col min="2" max="2" width="68" style="23" customWidth="1"/>
    <col min="3" max="3" width="18.28515625" style="20" customWidth="1"/>
    <col min="5" max="5" width="30.28515625" style="7" customWidth="1"/>
    <col min="6" max="6" width="12.28515625" style="7" customWidth="1"/>
    <col min="7" max="7" width="6.85546875" style="7" customWidth="1"/>
    <col min="8" max="8" width="5.140625" customWidth="1"/>
    <col min="9" max="9" width="0" hidden="1" customWidth="1"/>
    <col min="10" max="16384" width="8.85546875" hidden="1"/>
  </cols>
  <sheetData>
    <row r="1" spans="1:7" ht="18.75" x14ac:dyDescent="0.25">
      <c r="A1" s="696" t="s">
        <v>394</v>
      </c>
      <c r="B1" s="677"/>
      <c r="C1" s="112"/>
      <c r="D1" s="71"/>
      <c r="E1" s="683" t="s">
        <v>420</v>
      </c>
      <c r="F1" s="668">
        <f>COUNTA(G6:G43)</f>
        <v>19</v>
      </c>
      <c r="G1" s="99"/>
    </row>
    <row r="2" spans="1:7" ht="25.5" customHeight="1" x14ac:dyDescent="0.25">
      <c r="A2" s="155" t="str">
        <f>Паспорт_ФМ_резидент!B7</f>
        <v>Название инвест. проект 01</v>
      </c>
      <c r="B2" s="677"/>
      <c r="C2" s="680"/>
      <c r="D2" s="71"/>
      <c r="E2" s="683" t="s">
        <v>404</v>
      </c>
      <c r="F2" s="668">
        <f>COUNTIF(G6:G43,TRUE)</f>
        <v>0</v>
      </c>
      <c r="G2" s="99"/>
    </row>
    <row r="3" spans="1:7" ht="13.5" customHeight="1" x14ac:dyDescent="0.25">
      <c r="A3" s="673"/>
      <c r="B3" s="675"/>
      <c r="C3" s="100" t="str">
        <f ca="1">Контроль!$Q$1</f>
        <v>Ошибок нет</v>
      </c>
      <c r="D3" s="71"/>
      <c r="E3" s="400"/>
      <c r="F3" s="99"/>
      <c r="G3" s="671"/>
    </row>
    <row r="4" spans="1:7" ht="30.6" customHeight="1" x14ac:dyDescent="0.25">
      <c r="A4" s="92" t="s">
        <v>2</v>
      </c>
      <c r="B4" s="92" t="s">
        <v>421</v>
      </c>
      <c r="C4" s="92" t="s">
        <v>231</v>
      </c>
      <c r="D4" s="167"/>
      <c r="E4" s="92" t="s">
        <v>395</v>
      </c>
      <c r="F4" s="669" t="s">
        <v>447</v>
      </c>
      <c r="G4" s="672"/>
    </row>
    <row r="5" spans="1:7" s="9" customFormat="1" ht="4.1500000000000004" customHeight="1" x14ac:dyDescent="0.25">
      <c r="A5" s="674"/>
      <c r="B5" s="678"/>
      <c r="C5" s="112"/>
      <c r="D5" s="674"/>
      <c r="E5" s="684"/>
      <c r="F5" s="670"/>
      <c r="G5" s="108"/>
    </row>
    <row r="6" spans="1:7" ht="69.599999999999994" customHeight="1" x14ac:dyDescent="0.25">
      <c r="A6" s="673" t="s">
        <v>396</v>
      </c>
      <c r="B6" s="675" t="s">
        <v>397</v>
      </c>
      <c r="C6" s="681" t="str" cm="1">
        <f t="array" aca="1" ref="C6" ca="1">HYPERLINK(CELL("адрес",Структура!$A$1),"перейти")</f>
        <v>перейти</v>
      </c>
      <c r="D6" s="71"/>
      <c r="E6" s="667" t="s">
        <v>398</v>
      </c>
      <c r="F6" s="99"/>
      <c r="G6" s="671" t="b">
        <v>0</v>
      </c>
    </row>
    <row r="7" spans="1:7" ht="7.5" customHeight="1" x14ac:dyDescent="0.25">
      <c r="A7" s="673"/>
      <c r="B7" s="675"/>
      <c r="C7" s="681"/>
      <c r="D7" s="71"/>
      <c r="E7" s="667"/>
      <c r="F7" s="99"/>
      <c r="G7" s="671"/>
    </row>
    <row r="8" spans="1:7" ht="24.95" customHeight="1" x14ac:dyDescent="0.25">
      <c r="A8" s="673" t="s">
        <v>399</v>
      </c>
      <c r="B8" s="675" t="s">
        <v>400</v>
      </c>
      <c r="C8" s="681" t="str" cm="1">
        <f t="array" aca="1" ref="C8" ca="1">HYPERLINK(CELL("адрес",Макро!$A$1),"перейти")</f>
        <v>перейти</v>
      </c>
      <c r="D8" s="71"/>
      <c r="E8" s="667" t="s">
        <v>415</v>
      </c>
      <c r="F8" s="99"/>
      <c r="G8" s="671" t="b">
        <v>0</v>
      </c>
    </row>
    <row r="9" spans="1:7" ht="7.5" customHeight="1" x14ac:dyDescent="0.25">
      <c r="A9" s="673"/>
      <c r="B9" s="675"/>
      <c r="C9" s="681"/>
      <c r="D9" s="71"/>
      <c r="E9" s="667"/>
      <c r="F9" s="99"/>
      <c r="G9" s="671"/>
    </row>
    <row r="10" spans="1:7" ht="24.95" customHeight="1" x14ac:dyDescent="0.25">
      <c r="A10" s="673" t="s">
        <v>402</v>
      </c>
      <c r="B10" s="675" t="s">
        <v>401</v>
      </c>
      <c r="C10" s="681" t="str" cm="1">
        <f t="array" aca="1" ref="C10" ca="1">HYPERLINK(CELL("адрес",Исходные!$A$1),"перейти")</f>
        <v>перейти</v>
      </c>
      <c r="D10" s="71"/>
      <c r="E10" s="667"/>
      <c r="F10" s="99"/>
      <c r="G10" s="671" t="b">
        <v>0</v>
      </c>
    </row>
    <row r="11" spans="1:7" ht="7.5" customHeight="1" x14ac:dyDescent="0.25">
      <c r="A11" s="673"/>
      <c r="B11" s="675"/>
      <c r="C11" s="681"/>
      <c r="D11" s="71"/>
      <c r="E11" s="667"/>
      <c r="F11" s="99"/>
      <c r="G11" s="671"/>
    </row>
    <row r="12" spans="1:7" ht="24.95" customHeight="1" x14ac:dyDescent="0.25">
      <c r="A12" s="673" t="s">
        <v>405</v>
      </c>
      <c r="B12" s="675" t="s">
        <v>403</v>
      </c>
      <c r="C12" s="681" t="str" cm="1">
        <f t="array" aca="1" ref="C12" ca="1">HYPERLINK(CELL("адрес",Выручка!$A$1),"перейти")</f>
        <v>перейти</v>
      </c>
      <c r="D12" s="71"/>
      <c r="E12" s="667"/>
      <c r="F12" s="99"/>
      <c r="G12" s="671" t="b">
        <v>0</v>
      </c>
    </row>
    <row r="13" spans="1:7" ht="7.5" customHeight="1" x14ac:dyDescent="0.25">
      <c r="A13" s="673"/>
      <c r="B13" s="675"/>
      <c r="C13" s="681"/>
      <c r="D13" s="71"/>
      <c r="E13" s="667"/>
      <c r="F13" s="99"/>
      <c r="G13" s="671"/>
    </row>
    <row r="14" spans="1:7" ht="24.95" customHeight="1" x14ac:dyDescent="0.25">
      <c r="A14" s="673" t="s">
        <v>406</v>
      </c>
      <c r="B14" s="675" t="s">
        <v>407</v>
      </c>
      <c r="C14" s="681" t="str" cm="1">
        <f t="array" aca="1" ref="C14" ca="1">HYPERLINK(CELL("адрес",Себестоимость!$A$1),"перейти")</f>
        <v>перейти</v>
      </c>
      <c r="D14" s="71"/>
      <c r="E14" s="667"/>
      <c r="F14" s="99"/>
      <c r="G14" s="671" t="b">
        <v>0</v>
      </c>
    </row>
    <row r="15" spans="1:7" ht="7.5" customHeight="1" x14ac:dyDescent="0.25">
      <c r="A15" s="673"/>
      <c r="B15" s="675"/>
      <c r="C15" s="681"/>
      <c r="D15" s="71"/>
      <c r="E15" s="667"/>
      <c r="F15" s="99"/>
      <c r="G15" s="671"/>
    </row>
    <row r="16" spans="1:7" ht="24.95" customHeight="1" x14ac:dyDescent="0.25">
      <c r="A16" s="673" t="s">
        <v>409</v>
      </c>
      <c r="B16" s="675" t="s">
        <v>408</v>
      </c>
      <c r="C16" s="681" t="str" cm="1">
        <f t="array" aca="1" ref="C16" ca="1">HYPERLINK(CELL("адрес",Ресурсы!$A$1),"перейти")</f>
        <v>перейти</v>
      </c>
      <c r="D16" s="71"/>
      <c r="E16" s="667"/>
      <c r="F16" s="99"/>
      <c r="G16" s="671" t="b">
        <v>0</v>
      </c>
    </row>
    <row r="17" spans="1:7" ht="7.5" customHeight="1" x14ac:dyDescent="0.25">
      <c r="A17" s="673"/>
      <c r="B17" s="675"/>
      <c r="C17" s="681"/>
      <c r="D17" s="71"/>
      <c r="E17" s="667"/>
      <c r="F17" s="99"/>
      <c r="G17" s="671"/>
    </row>
    <row r="18" spans="1:7" ht="24.95" customHeight="1" x14ac:dyDescent="0.25">
      <c r="A18" s="673" t="s">
        <v>410</v>
      </c>
      <c r="B18" s="675" t="s">
        <v>411</v>
      </c>
      <c r="C18" s="681" t="str" cm="1">
        <f t="array" aca="1" ref="C18" ca="1">HYPERLINK(CELL("адрес",Персонал!$A$1),"перейти")</f>
        <v>перейти</v>
      </c>
      <c r="D18" s="71"/>
      <c r="E18" s="667"/>
      <c r="F18" s="99"/>
      <c r="G18" s="671" t="b">
        <v>0</v>
      </c>
    </row>
    <row r="19" spans="1:7" ht="7.5" customHeight="1" x14ac:dyDescent="0.25">
      <c r="A19" s="673"/>
      <c r="B19" s="675"/>
      <c r="C19" s="681"/>
      <c r="D19" s="71"/>
      <c r="E19" s="667"/>
      <c r="F19" s="99"/>
      <c r="G19" s="671"/>
    </row>
    <row r="20" spans="1:7" ht="43.15" customHeight="1" x14ac:dyDescent="0.25">
      <c r="A20" s="673" t="s">
        <v>412</v>
      </c>
      <c r="B20" s="675" t="s">
        <v>414</v>
      </c>
      <c r="C20" s="681" t="str" cm="1">
        <f t="array" aca="1" ref="C20" ca="1">HYPERLINK(CELL("адрес",Инвестиции!$A$1),"перейти")</f>
        <v>перейти</v>
      </c>
      <c r="D20" s="71"/>
      <c r="E20" s="667" t="s">
        <v>418</v>
      </c>
      <c r="F20" s="99"/>
      <c r="G20" s="671" t="b">
        <v>0</v>
      </c>
    </row>
    <row r="21" spans="1:7" ht="7.5" customHeight="1" x14ac:dyDescent="0.25">
      <c r="A21" s="673"/>
      <c r="B21" s="675"/>
      <c r="C21" s="681"/>
      <c r="D21" s="71"/>
      <c r="E21" s="667"/>
      <c r="F21" s="99"/>
      <c r="G21" s="671"/>
    </row>
    <row r="22" spans="1:7" ht="24.95" customHeight="1" x14ac:dyDescent="0.25">
      <c r="A22" s="673" t="s">
        <v>413</v>
      </c>
      <c r="B22" s="675" t="s">
        <v>416</v>
      </c>
      <c r="C22" s="681" t="str" cm="1">
        <f t="array" aca="1" ref="C22" ca="1">HYPERLINK(CELL("адрес",Финансы!$A$1),"перейти")</f>
        <v>перейти</v>
      </c>
      <c r="D22" s="71"/>
      <c r="E22" s="667" t="s">
        <v>417</v>
      </c>
      <c r="F22" s="99"/>
      <c r="G22" s="671" t="b">
        <v>0</v>
      </c>
    </row>
    <row r="23" spans="1:7" ht="7.5" customHeight="1" x14ac:dyDescent="0.25">
      <c r="A23" s="673"/>
      <c r="B23" s="675"/>
      <c r="C23" s="681"/>
      <c r="D23" s="71"/>
      <c r="E23" s="667"/>
      <c r="F23" s="99"/>
      <c r="G23" s="671"/>
    </row>
    <row r="24" spans="1:7" ht="54" customHeight="1" x14ac:dyDescent="0.25">
      <c r="A24" s="673" t="s">
        <v>419</v>
      </c>
      <c r="B24" s="675" t="s">
        <v>422</v>
      </c>
      <c r="C24" s="681" t="str" cm="1">
        <f t="array" aca="1" ref="C24" ca="1">HYPERLINK(CELL("адрес",ОбщПрРасходы!$A$1),"перейти")</f>
        <v>перейти</v>
      </c>
      <c r="D24" s="71"/>
      <c r="E24" s="667" t="s">
        <v>428</v>
      </c>
      <c r="F24" s="99"/>
      <c r="G24" s="671" t="b">
        <v>0</v>
      </c>
    </row>
    <row r="25" spans="1:7" ht="7.5" customHeight="1" x14ac:dyDescent="0.25">
      <c r="A25" s="673"/>
      <c r="B25" s="675"/>
      <c r="C25" s="681"/>
      <c r="D25" s="71"/>
      <c r="E25" s="667"/>
      <c r="F25" s="99"/>
      <c r="G25" s="671"/>
    </row>
    <row r="26" spans="1:7" ht="52.15" customHeight="1" x14ac:dyDescent="0.25">
      <c r="A26" s="673" t="s">
        <v>424</v>
      </c>
      <c r="B26" s="675" t="s">
        <v>425</v>
      </c>
      <c r="C26" s="681" t="str" cm="1">
        <f t="array" aca="1" ref="C26" ca="1">HYPERLINK(CELL("адрес",АдмРасходы!$A$1),"перейти")</f>
        <v>перейти</v>
      </c>
      <c r="D26" s="71"/>
      <c r="E26" s="667" t="s">
        <v>428</v>
      </c>
      <c r="F26" s="99"/>
      <c r="G26" s="671" t="b">
        <v>0</v>
      </c>
    </row>
    <row r="27" spans="1:7" ht="7.5" customHeight="1" x14ac:dyDescent="0.25">
      <c r="A27" s="673"/>
      <c r="B27" s="675"/>
      <c r="C27" s="681"/>
      <c r="D27" s="71"/>
      <c r="E27" s="667"/>
      <c r="F27" s="99"/>
      <c r="G27" s="671"/>
    </row>
    <row r="28" spans="1:7" ht="24.95" customHeight="1" x14ac:dyDescent="0.25">
      <c r="A28" s="673" t="s">
        <v>426</v>
      </c>
      <c r="B28" s="675" t="s">
        <v>427</v>
      </c>
      <c r="C28" s="681" t="str" cm="1">
        <f t="array" aca="1" ref="C28" ca="1">HYPERLINK(CELL("адрес",ПрочДоходы!$A$1),"перейти")</f>
        <v>перейти</v>
      </c>
      <c r="D28" s="71"/>
      <c r="E28" s="667" t="s">
        <v>423</v>
      </c>
      <c r="F28" s="99"/>
      <c r="G28" s="671" t="b">
        <v>0</v>
      </c>
    </row>
    <row r="29" spans="1:7" ht="7.5" customHeight="1" x14ac:dyDescent="0.25">
      <c r="A29" s="673"/>
      <c r="B29" s="675"/>
      <c r="C29" s="681"/>
      <c r="D29" s="71"/>
      <c r="E29" s="667"/>
      <c r="F29" s="99"/>
      <c r="G29" s="671"/>
    </row>
    <row r="30" spans="1:7" ht="24.95" customHeight="1" x14ac:dyDescent="0.25">
      <c r="A30" s="673" t="s">
        <v>429</v>
      </c>
      <c r="B30" s="675" t="s">
        <v>430</v>
      </c>
      <c r="C30" s="681" t="str" cm="1">
        <f t="array" aca="1" ref="C30" ca="1">HYPERLINK(CELL("адрес",ПрочРасходы!$A$1),"перейти")</f>
        <v>перейти</v>
      </c>
      <c r="D30" s="71"/>
      <c r="E30" s="667" t="s">
        <v>423</v>
      </c>
      <c r="F30" s="99"/>
      <c r="G30" s="671" t="b">
        <v>0</v>
      </c>
    </row>
    <row r="31" spans="1:7" ht="7.5" customHeight="1" x14ac:dyDescent="0.25">
      <c r="A31" s="673"/>
      <c r="B31" s="675"/>
      <c r="C31" s="681"/>
      <c r="D31" s="71"/>
      <c r="E31" s="667"/>
      <c r="F31" s="99"/>
      <c r="G31" s="671"/>
    </row>
    <row r="32" spans="1:7" ht="24.95" customHeight="1" x14ac:dyDescent="0.25">
      <c r="A32" s="673" t="s">
        <v>431</v>
      </c>
      <c r="B32" s="675" t="s">
        <v>432</v>
      </c>
      <c r="C32" s="681" t="str" cm="1">
        <f t="array" aca="1" ref="C32" ca="1">HYPERLINK(CELL("адрес",Контроль!$A$1),"перейти")</f>
        <v>перейти</v>
      </c>
      <c r="D32" s="71"/>
      <c r="E32" s="667" t="s">
        <v>433</v>
      </c>
      <c r="F32" s="99"/>
      <c r="G32" s="671" t="b">
        <v>0</v>
      </c>
    </row>
    <row r="33" spans="1:7" ht="7.5" customHeight="1" x14ac:dyDescent="0.25">
      <c r="A33" s="673"/>
      <c r="B33" s="675"/>
      <c r="C33" s="681"/>
      <c r="D33" s="71"/>
      <c r="E33" s="667"/>
      <c r="F33" s="99"/>
      <c r="G33" s="671"/>
    </row>
    <row r="34" spans="1:7" ht="24.95" customHeight="1" x14ac:dyDescent="0.25">
      <c r="A34" s="673" t="s">
        <v>434</v>
      </c>
      <c r="B34" s="675" t="s">
        <v>435</v>
      </c>
      <c r="C34" s="681" t="str" cm="1">
        <f t="array" aca="1" ref="C34" ca="1">HYPERLINK(CELL("адрес",БДР!$A$1),"перейти")</f>
        <v>перейти</v>
      </c>
      <c r="D34" s="71"/>
      <c r="E34" s="667" t="s">
        <v>436</v>
      </c>
      <c r="F34" s="99"/>
      <c r="G34" s="671" t="b">
        <v>0</v>
      </c>
    </row>
    <row r="35" spans="1:7" ht="7.5" customHeight="1" x14ac:dyDescent="0.25">
      <c r="A35" s="673"/>
      <c r="B35" s="675"/>
      <c r="C35" s="681"/>
      <c r="D35" s="71"/>
      <c r="E35" s="667"/>
      <c r="F35" s="99"/>
      <c r="G35" s="671"/>
    </row>
    <row r="36" spans="1:7" ht="24.95" customHeight="1" x14ac:dyDescent="0.25">
      <c r="A36" s="673" t="s">
        <v>437</v>
      </c>
      <c r="B36" s="675" t="s">
        <v>438</v>
      </c>
      <c r="C36" s="681" t="str" cm="1">
        <f t="array" aca="1" ref="C36" ca="1">HYPERLINK(CELL("адрес",БДРбезЛьгот!$A$1),"перейти")</f>
        <v>перейти</v>
      </c>
      <c r="D36" s="71"/>
      <c r="E36" s="667" t="s">
        <v>436</v>
      </c>
      <c r="F36" s="99"/>
      <c r="G36" s="671" t="b">
        <v>0</v>
      </c>
    </row>
    <row r="37" spans="1:7" ht="7.5" customHeight="1" x14ac:dyDescent="0.25">
      <c r="A37" s="673"/>
      <c r="B37" s="675"/>
      <c r="C37" s="681"/>
      <c r="D37" s="71"/>
      <c r="E37" s="667"/>
      <c r="F37" s="99"/>
      <c r="G37" s="671"/>
    </row>
    <row r="38" spans="1:7" ht="24.95" customHeight="1" x14ac:dyDescent="0.25">
      <c r="A38" s="673" t="s">
        <v>439</v>
      </c>
      <c r="B38" s="675" t="s">
        <v>440</v>
      </c>
      <c r="C38" s="745" t="str" cm="1">
        <f t="array" aca="1" ref="C38" ca="1">HYPERLINK(CELL("адрес",Дашборд_Основной!A1),"перейти")</f>
        <v>перейти</v>
      </c>
      <c r="D38" s="71"/>
      <c r="E38" s="667" t="s">
        <v>441</v>
      </c>
      <c r="F38" s="99"/>
      <c r="G38" s="671" t="b">
        <v>0</v>
      </c>
    </row>
    <row r="39" spans="1:7" ht="7.5" customHeight="1" x14ac:dyDescent="0.25">
      <c r="A39" s="673"/>
      <c r="B39" s="675"/>
      <c r="C39" s="681"/>
      <c r="D39" s="71"/>
      <c r="E39" s="667"/>
      <c r="F39" s="99"/>
      <c r="G39" s="671"/>
    </row>
    <row r="40" spans="1:7" ht="24.95" customHeight="1" x14ac:dyDescent="0.25">
      <c r="A40" s="673" t="s">
        <v>442</v>
      </c>
      <c r="B40" s="675" t="s">
        <v>443</v>
      </c>
      <c r="C40" s="745" t="str" cm="1">
        <f t="array" aca="1" ref="C40" ca="1">HYPERLINK(CELL("адрес",Чувствительность!A1),"Чувствительность")</f>
        <v>Чувствительность</v>
      </c>
      <c r="D40" s="71"/>
      <c r="E40" s="667" t="s">
        <v>446</v>
      </c>
      <c r="F40" s="99"/>
      <c r="G40" s="671" t="b">
        <v>0</v>
      </c>
    </row>
    <row r="41" spans="1:7" ht="7.5" customHeight="1" x14ac:dyDescent="0.25">
      <c r="A41" s="673"/>
      <c r="B41" s="675"/>
      <c r="C41" s="681"/>
      <c r="D41" s="71"/>
      <c r="E41" s="667"/>
      <c r="F41" s="99"/>
      <c r="G41" s="671"/>
    </row>
    <row r="42" spans="1:7" ht="24.95" customHeight="1" x14ac:dyDescent="0.25">
      <c r="A42" s="673" t="s">
        <v>444</v>
      </c>
      <c r="B42" s="675" t="s">
        <v>445</v>
      </c>
      <c r="C42" s="745" t="str" cm="1">
        <f t="array" aca="1" ref="C42" ca="1">HYPERLINK(CELL("адрес",WACC!A1),"WACC")</f>
        <v>WACC</v>
      </c>
      <c r="D42" s="71"/>
      <c r="E42" s="667" t="s">
        <v>915</v>
      </c>
      <c r="F42" s="99"/>
      <c r="G42" s="671" t="b">
        <v>0</v>
      </c>
    </row>
    <row r="43" spans="1:7" x14ac:dyDescent="0.25">
      <c r="A43" s="675"/>
      <c r="B43" s="675"/>
      <c r="C43" s="681"/>
      <c r="D43" s="71"/>
      <c r="E43" s="667"/>
      <c r="F43" s="99"/>
      <c r="G43" s="671"/>
    </row>
    <row r="44" spans="1:7" ht="7.5" customHeight="1" x14ac:dyDescent="0.25">
      <c r="A44" s="676"/>
      <c r="B44" s="679"/>
      <c r="C44" s="682"/>
      <c r="D44" s="71"/>
      <c r="E44" s="104"/>
      <c r="F44" s="104"/>
      <c r="G44" s="99"/>
    </row>
    <row r="45" spans="1:7" x14ac:dyDescent="0.25">
      <c r="A45" s="71"/>
      <c r="B45" s="677"/>
      <c r="C45" s="112"/>
      <c r="D45" s="71"/>
      <c r="E45" s="99"/>
      <c r="F45" s="99"/>
      <c r="G45" s="99"/>
    </row>
    <row r="46" spans="1:7" x14ac:dyDescent="0.25">
      <c r="A46" s="71"/>
      <c r="B46" s="677" t="s">
        <v>328</v>
      </c>
      <c r="C46" s="112"/>
      <c r="D46" s="71"/>
      <c r="E46" s="99"/>
      <c r="F46" s="99"/>
      <c r="G46" s="99"/>
    </row>
    <row r="47" spans="1:7" x14ac:dyDescent="0.25"/>
    <row r="48" spans="1:7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95" x14ac:dyDescent="0.25"/>
    <row r="96" x14ac:dyDescent="0.25"/>
    <row r="98" x14ac:dyDescent="0.25"/>
    <row r="99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</sheetData>
  <hyperlinks>
    <hyperlink ref="C3" location="Контроль!A1" display="Контроль!A1" xr:uid="{CFE57176-16DE-49D2-9822-9C17A417A3BC}"/>
  </hyperlinks>
  <pageMargins left="0.70866141732283472" right="0.70866141732283472" top="0.74803149606299213" bottom="0.74803149606299213" header="0.31496062992125984" footer="0.31496062992125984"/>
  <pageSetup paperSize="9" scale="62" fitToHeight="2" orientation="portrait" r:id="rId1"/>
  <headerFooter>
    <oddFooter>&amp;C&amp;9Страница  &amp;P из &amp;N&amp;R&amp;G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5</xdr:col>
                    <xdr:colOff>238125</xdr:colOff>
                    <xdr:row>7</xdr:row>
                    <xdr:rowOff>28575</xdr:rowOff>
                  </from>
                  <to>
                    <xdr:col>5</xdr:col>
                    <xdr:colOff>476250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6" name="Check Box 4">
              <controlPr defaultSize="0" autoFill="0" autoLine="0" autoPict="0">
                <anchor moveWithCells="1">
                  <from>
                    <xdr:col>5</xdr:col>
                    <xdr:colOff>238125</xdr:colOff>
                    <xdr:row>9</xdr:row>
                    <xdr:rowOff>57150</xdr:rowOff>
                  </from>
                  <to>
                    <xdr:col>5</xdr:col>
                    <xdr:colOff>476250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7" name="Check Box 10">
              <controlPr defaultSize="0" autoFill="0" autoLine="0" autoPict="0">
                <anchor moveWithCells="1">
                  <from>
                    <xdr:col>5</xdr:col>
                    <xdr:colOff>247650</xdr:colOff>
                    <xdr:row>5</xdr:row>
                    <xdr:rowOff>361950</xdr:rowOff>
                  </from>
                  <to>
                    <xdr:col>5</xdr:col>
                    <xdr:colOff>457200</xdr:colOff>
                    <xdr:row>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8" name="Check Box 13">
              <controlPr defaultSize="0" autoFill="0" autoLine="0" autoPict="0">
                <anchor moveWithCells="1">
                  <from>
                    <xdr:col>5</xdr:col>
                    <xdr:colOff>238125</xdr:colOff>
                    <xdr:row>11</xdr:row>
                    <xdr:rowOff>57150</xdr:rowOff>
                  </from>
                  <to>
                    <xdr:col>5</xdr:col>
                    <xdr:colOff>476250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9" name="Check Box 21">
              <controlPr defaultSize="0" autoFill="0" autoLine="0" autoPict="0">
                <anchor moveWithCells="1">
                  <from>
                    <xdr:col>5</xdr:col>
                    <xdr:colOff>238125</xdr:colOff>
                    <xdr:row>13</xdr:row>
                    <xdr:rowOff>57150</xdr:rowOff>
                  </from>
                  <to>
                    <xdr:col>5</xdr:col>
                    <xdr:colOff>476250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10" name="Check Box 22">
              <controlPr defaultSize="0" autoFill="0" autoLine="0" autoPict="0">
                <anchor moveWithCells="1">
                  <from>
                    <xdr:col>5</xdr:col>
                    <xdr:colOff>238125</xdr:colOff>
                    <xdr:row>15</xdr:row>
                    <xdr:rowOff>57150</xdr:rowOff>
                  </from>
                  <to>
                    <xdr:col>5</xdr:col>
                    <xdr:colOff>476250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1" name="Check Box 23">
              <controlPr defaultSize="0" autoFill="0" autoLine="0" autoPict="0">
                <anchor moveWithCells="1">
                  <from>
                    <xdr:col>5</xdr:col>
                    <xdr:colOff>238125</xdr:colOff>
                    <xdr:row>17</xdr:row>
                    <xdr:rowOff>57150</xdr:rowOff>
                  </from>
                  <to>
                    <xdr:col>5</xdr:col>
                    <xdr:colOff>476250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12" name="Check Box 24">
              <controlPr defaultSize="0" autoFill="0" autoLine="0" autoPict="0">
                <anchor moveWithCells="1">
                  <from>
                    <xdr:col>5</xdr:col>
                    <xdr:colOff>238125</xdr:colOff>
                    <xdr:row>19</xdr:row>
                    <xdr:rowOff>133350</xdr:rowOff>
                  </from>
                  <to>
                    <xdr:col>5</xdr:col>
                    <xdr:colOff>466725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13" name="Check Box 26">
              <controlPr defaultSize="0" autoFill="0" autoLine="0" autoPict="0">
                <anchor moveWithCells="1">
                  <from>
                    <xdr:col>5</xdr:col>
                    <xdr:colOff>238125</xdr:colOff>
                    <xdr:row>21</xdr:row>
                    <xdr:rowOff>57150</xdr:rowOff>
                  </from>
                  <to>
                    <xdr:col>5</xdr:col>
                    <xdr:colOff>476250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1" r:id="rId14" name="Check Box 27">
              <controlPr defaultSize="0" autoFill="0" autoLine="0" autoPict="0">
                <anchor moveWithCells="1">
                  <from>
                    <xdr:col>5</xdr:col>
                    <xdr:colOff>238125</xdr:colOff>
                    <xdr:row>23</xdr:row>
                    <xdr:rowOff>57150</xdr:rowOff>
                  </from>
                  <to>
                    <xdr:col>5</xdr:col>
                    <xdr:colOff>476250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15" name="Check Box 28">
              <controlPr defaultSize="0" autoFill="0" autoLine="0" autoPict="0">
                <anchor moveWithCells="1">
                  <from>
                    <xdr:col>5</xdr:col>
                    <xdr:colOff>238125</xdr:colOff>
                    <xdr:row>25</xdr:row>
                    <xdr:rowOff>57150</xdr:rowOff>
                  </from>
                  <to>
                    <xdr:col>5</xdr:col>
                    <xdr:colOff>476250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3" r:id="rId16" name="Check Box 29">
              <controlPr defaultSize="0" autoFill="0" autoLine="0" autoPict="0">
                <anchor moveWithCells="1">
                  <from>
                    <xdr:col>5</xdr:col>
                    <xdr:colOff>238125</xdr:colOff>
                    <xdr:row>27</xdr:row>
                    <xdr:rowOff>57150</xdr:rowOff>
                  </from>
                  <to>
                    <xdr:col>5</xdr:col>
                    <xdr:colOff>476250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4" r:id="rId17" name="Check Box 30">
              <controlPr defaultSize="0" autoFill="0" autoLine="0" autoPict="0">
                <anchor moveWithCells="1">
                  <from>
                    <xdr:col>5</xdr:col>
                    <xdr:colOff>238125</xdr:colOff>
                    <xdr:row>29</xdr:row>
                    <xdr:rowOff>57150</xdr:rowOff>
                  </from>
                  <to>
                    <xdr:col>5</xdr:col>
                    <xdr:colOff>476250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5" r:id="rId18" name="Check Box 31">
              <controlPr defaultSize="0" autoFill="0" autoLine="0" autoPict="0">
                <anchor moveWithCells="1">
                  <from>
                    <xdr:col>5</xdr:col>
                    <xdr:colOff>238125</xdr:colOff>
                    <xdr:row>31</xdr:row>
                    <xdr:rowOff>57150</xdr:rowOff>
                  </from>
                  <to>
                    <xdr:col>5</xdr:col>
                    <xdr:colOff>476250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6" r:id="rId19" name="Check Box 32">
              <controlPr defaultSize="0" autoFill="0" autoLine="0" autoPict="0">
                <anchor moveWithCells="1">
                  <from>
                    <xdr:col>5</xdr:col>
                    <xdr:colOff>238125</xdr:colOff>
                    <xdr:row>33</xdr:row>
                    <xdr:rowOff>57150</xdr:rowOff>
                  </from>
                  <to>
                    <xdr:col>5</xdr:col>
                    <xdr:colOff>476250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7" r:id="rId20" name="Check Box 33">
              <controlPr defaultSize="0" autoFill="0" autoLine="0" autoPict="0">
                <anchor moveWithCells="1">
                  <from>
                    <xdr:col>5</xdr:col>
                    <xdr:colOff>238125</xdr:colOff>
                    <xdr:row>35</xdr:row>
                    <xdr:rowOff>57150</xdr:rowOff>
                  </from>
                  <to>
                    <xdr:col>5</xdr:col>
                    <xdr:colOff>476250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8" r:id="rId21" name="Check Box 34">
              <controlPr defaultSize="0" autoFill="0" autoLine="0" autoPict="0">
                <anchor moveWithCells="1">
                  <from>
                    <xdr:col>5</xdr:col>
                    <xdr:colOff>238125</xdr:colOff>
                    <xdr:row>37</xdr:row>
                    <xdr:rowOff>57150</xdr:rowOff>
                  </from>
                  <to>
                    <xdr:col>5</xdr:col>
                    <xdr:colOff>476250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9" r:id="rId22" name="Check Box 35">
              <controlPr defaultSize="0" autoFill="0" autoLine="0" autoPict="0">
                <anchor moveWithCells="1">
                  <from>
                    <xdr:col>5</xdr:col>
                    <xdr:colOff>238125</xdr:colOff>
                    <xdr:row>39</xdr:row>
                    <xdr:rowOff>57150</xdr:rowOff>
                  </from>
                  <to>
                    <xdr:col>5</xdr:col>
                    <xdr:colOff>476250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23" name="Check Box 36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0</xdr:rowOff>
                  </from>
                  <to>
                    <xdr:col>5</xdr:col>
                    <xdr:colOff>476250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1" r:id="rId24" name="Check Box 37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0</xdr:rowOff>
                  </from>
                  <to>
                    <xdr:col>5</xdr:col>
                    <xdr:colOff>476250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2" r:id="rId25" name="Check Box 38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57150</xdr:rowOff>
                  </from>
                  <to>
                    <xdr:col>5</xdr:col>
                    <xdr:colOff>476250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3" r:id="rId26" name="Check Box 39">
              <controlPr defaultSize="0" autoFill="0" autoLine="0" autoPict="0">
                <anchor moveWithCells="1">
                  <from>
                    <xdr:col>5</xdr:col>
                    <xdr:colOff>238125</xdr:colOff>
                    <xdr:row>41</xdr:row>
                    <xdr:rowOff>47625</xdr:rowOff>
                  </from>
                  <to>
                    <xdr:col>5</xdr:col>
                    <xdr:colOff>476250</xdr:colOff>
                    <xdr:row>41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80B1-2E02-43AA-8DCF-E38CBA508DE9}">
  <sheetPr codeName="Лист41">
    <tabColor theme="2" tint="-0.249977111117893"/>
    <outlinePr summaryRight="0"/>
    <pageSetUpPr fitToPage="1"/>
  </sheetPr>
  <dimension ref="A1:H22"/>
  <sheetViews>
    <sheetView showGridLines="0" zoomScale="85" zoomScaleNormal="85"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ColWidth="8.85546875" defaultRowHeight="15" x14ac:dyDescent="0.25"/>
  <cols>
    <col min="1" max="1" width="3.7109375" style="22" customWidth="1"/>
    <col min="2" max="2" width="25.42578125" style="21" customWidth="1"/>
    <col min="3" max="3" width="11.140625" style="19" customWidth="1"/>
    <col min="4" max="4" width="135.42578125" style="19" customWidth="1"/>
    <col min="5" max="5" width="7.140625" style="19" customWidth="1"/>
    <col min="6" max="6" width="19.5703125" style="21" customWidth="1"/>
    <col min="7" max="7" width="11.140625" style="19" customWidth="1"/>
    <col min="8" max="8" width="14.28515625" style="19" customWidth="1"/>
    <col min="9" max="16384" width="8.85546875" style="19"/>
  </cols>
  <sheetData>
    <row r="1" spans="1:8" ht="18.75" x14ac:dyDescent="0.25">
      <c r="A1" s="695" t="s">
        <v>368</v>
      </c>
      <c r="B1" s="666"/>
      <c r="C1" s="159"/>
      <c r="D1" s="159"/>
      <c r="E1" s="159"/>
      <c r="F1" s="666"/>
      <c r="G1" s="666"/>
      <c r="H1" s="159"/>
    </row>
    <row r="2" spans="1:8" x14ac:dyDescent="0.25">
      <c r="A2" s="664" t="str">
        <f>Паспорт_ФМ_резидент!B7</f>
        <v>Название инвест. проект 01</v>
      </c>
      <c r="B2" s="666"/>
      <c r="C2" s="159"/>
      <c r="D2" s="159"/>
      <c r="E2" s="159"/>
      <c r="F2" s="666"/>
      <c r="G2" s="666"/>
      <c r="H2" s="159"/>
    </row>
    <row r="3" spans="1:8" s="24" customFormat="1" ht="9.6" customHeight="1" x14ac:dyDescent="0.25">
      <c r="A3" s="688"/>
      <c r="B3" s="72"/>
      <c r="C3" s="72"/>
      <c r="D3" s="74"/>
      <c r="E3" s="72"/>
      <c r="F3" s="72"/>
      <c r="G3" s="72"/>
      <c r="H3" s="72"/>
    </row>
    <row r="5" spans="1:8" ht="45.95" customHeight="1" x14ac:dyDescent="0.25">
      <c r="A5" s="665"/>
      <c r="B5" s="686" t="s">
        <v>325</v>
      </c>
      <c r="C5" s="159"/>
      <c r="D5" s="159"/>
      <c r="E5" s="159"/>
      <c r="F5" s="685" t="s">
        <v>901</v>
      </c>
      <c r="G5" s="159"/>
      <c r="H5" s="159"/>
    </row>
    <row r="6" spans="1:8" ht="45.95" customHeight="1" x14ac:dyDescent="0.25">
      <c r="A6" s="665"/>
      <c r="B6" s="685" t="s">
        <v>345</v>
      </c>
      <c r="C6" s="159"/>
      <c r="D6" s="159"/>
      <c r="E6" s="159"/>
      <c r="F6" s="685" t="s">
        <v>336</v>
      </c>
      <c r="G6" s="159"/>
      <c r="H6" s="159"/>
    </row>
    <row r="7" spans="1:8" ht="45.95" customHeight="1" x14ac:dyDescent="0.25">
      <c r="A7" s="665"/>
      <c r="B7" s="666"/>
      <c r="C7" s="159"/>
      <c r="D7" s="159"/>
      <c r="E7" s="159"/>
      <c r="F7" s="685" t="s">
        <v>346</v>
      </c>
      <c r="G7" s="159"/>
      <c r="H7" s="159"/>
    </row>
    <row r="8" spans="1:8" ht="45.95" customHeight="1" x14ac:dyDescent="0.25">
      <c r="A8" s="665"/>
      <c r="B8" s="666"/>
      <c r="C8" s="159"/>
      <c r="D8" s="159"/>
      <c r="E8" s="159"/>
      <c r="F8" s="686" t="s">
        <v>326</v>
      </c>
      <c r="G8" s="159"/>
      <c r="H8" s="159"/>
    </row>
    <row r="9" spans="1:8" ht="45.95" customHeight="1" x14ac:dyDescent="0.25">
      <c r="A9" s="665"/>
      <c r="B9" s="686" t="s">
        <v>332</v>
      </c>
      <c r="C9" s="159"/>
      <c r="D9" s="159"/>
      <c r="E9" s="159"/>
      <c r="F9" s="686" t="s">
        <v>329</v>
      </c>
      <c r="G9" s="159"/>
      <c r="H9" s="159"/>
    </row>
    <row r="10" spans="1:8" ht="45.95" customHeight="1" x14ac:dyDescent="0.25">
      <c r="A10" s="665"/>
      <c r="B10" s="686" t="s">
        <v>333</v>
      </c>
      <c r="C10" s="159"/>
      <c r="D10" s="159"/>
      <c r="E10" s="159"/>
      <c r="F10" s="687"/>
      <c r="G10" s="159"/>
      <c r="H10" s="159"/>
    </row>
    <row r="11" spans="1:8" ht="45.95" customHeight="1" x14ac:dyDescent="0.25">
      <c r="A11" s="665"/>
      <c r="B11" s="686" t="s">
        <v>330</v>
      </c>
      <c r="C11" s="159"/>
      <c r="D11" s="159"/>
      <c r="E11" s="159"/>
      <c r="F11" s="686" t="s">
        <v>477</v>
      </c>
      <c r="G11" s="159"/>
      <c r="H11" s="159"/>
    </row>
    <row r="12" spans="1:8" ht="45.95" customHeight="1" x14ac:dyDescent="0.25">
      <c r="A12" s="665"/>
      <c r="B12" s="689" t="s">
        <v>331</v>
      </c>
      <c r="C12" s="159"/>
      <c r="D12" s="159"/>
      <c r="E12" s="159"/>
      <c r="F12" s="686" t="s">
        <v>334</v>
      </c>
      <c r="G12" s="159"/>
      <c r="H12" s="159"/>
    </row>
    <row r="13" spans="1:8" ht="45.95" customHeight="1" x14ac:dyDescent="0.25">
      <c r="A13" s="665"/>
      <c r="B13" s="689" t="s">
        <v>891</v>
      </c>
      <c r="C13" s="159"/>
      <c r="D13" s="159"/>
      <c r="E13" s="159"/>
      <c r="F13" s="686" t="s">
        <v>335</v>
      </c>
      <c r="G13" s="159"/>
      <c r="H13" s="159"/>
    </row>
    <row r="14" spans="1:8" ht="45.95" customHeight="1" x14ac:dyDescent="0.25">
      <c r="A14" s="665"/>
      <c r="B14" s="689" t="s">
        <v>892</v>
      </c>
      <c r="C14" s="159"/>
      <c r="D14" s="159"/>
      <c r="E14" s="159"/>
      <c r="F14" s="686" t="s">
        <v>337</v>
      </c>
      <c r="G14" s="159"/>
      <c r="H14" s="159"/>
    </row>
    <row r="15" spans="1:8" ht="45.95" customHeight="1" x14ac:dyDescent="0.25">
      <c r="A15" s="665"/>
      <c r="B15" s="666"/>
      <c r="C15" s="159"/>
      <c r="D15" s="159"/>
      <c r="E15" s="159"/>
      <c r="F15" s="685" t="s">
        <v>347</v>
      </c>
      <c r="G15" s="159"/>
      <c r="H15" s="159"/>
    </row>
    <row r="16" spans="1:8" ht="45.95" customHeight="1" x14ac:dyDescent="0.25">
      <c r="A16" s="665"/>
      <c r="B16" s="666"/>
      <c r="C16" s="159"/>
      <c r="D16" s="159"/>
      <c r="E16" s="159"/>
      <c r="F16" s="685" t="s">
        <v>348</v>
      </c>
      <c r="G16" s="159"/>
      <c r="H16" s="159"/>
    </row>
    <row r="17" spans="6:6" ht="45.95" customHeight="1" x14ac:dyDescent="0.25">
      <c r="F17" s="686"/>
    </row>
    <row r="18" spans="6:6" ht="45.95" customHeight="1" x14ac:dyDescent="0.25">
      <c r="F18" s="686"/>
    </row>
    <row r="19" spans="6:6" ht="45.95" customHeight="1" x14ac:dyDescent="0.25">
      <c r="F19" s="686"/>
    </row>
    <row r="20" spans="6:6" ht="45.95" customHeight="1" x14ac:dyDescent="0.25">
      <c r="F20" s="686"/>
    </row>
    <row r="21" spans="6:6" ht="45.95" customHeight="1" x14ac:dyDescent="0.25">
      <c r="F21" s="686"/>
    </row>
    <row r="22" spans="6:6" ht="45.95" customHeight="1" x14ac:dyDescent="0.25">
      <c r="F22" s="68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Footer>&amp;C&amp;9Страница  &amp;P из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41</vt:i4>
      </vt:variant>
      <vt:variant>
        <vt:lpstr>Именованные диапазоны</vt:lpstr>
      </vt:variant>
      <vt:variant>
        <vt:i4>73</vt:i4>
      </vt:variant>
    </vt:vector>
  </HeadingPairs>
  <TitlesOfParts>
    <vt:vector size="114" baseType="lpstr">
      <vt:lpstr>Паспорт_ФМ_резидент</vt:lpstr>
      <vt:lpstr>Оглавление</vt:lpstr>
      <vt:lpstr>Оценка_инвестора</vt:lpstr>
      <vt:lpstr>Макро</vt:lpstr>
      <vt:lpstr>WACC</vt:lpstr>
      <vt:lpstr>Исходные</vt:lpstr>
      <vt:lpstr>КПЭ</vt:lpstr>
      <vt:lpstr>ИтогТаблицы</vt:lpstr>
      <vt:lpstr>Дашборд_ИтогТабл</vt:lpstr>
      <vt:lpstr>Дашборд_Основной</vt:lpstr>
      <vt:lpstr>БДР</vt:lpstr>
      <vt:lpstr>БДДС</vt:lpstr>
      <vt:lpstr>Баланс</vt:lpstr>
      <vt:lpstr>НалогСвод</vt:lpstr>
      <vt:lpstr>Чувствительность</vt:lpstr>
      <vt:lpstr>Дашборд_налоги</vt:lpstr>
      <vt:lpstr>Инвестиции</vt:lpstr>
      <vt:lpstr>Финансы</vt:lpstr>
      <vt:lpstr>Выручка</vt:lpstr>
      <vt:lpstr>Себестоимость</vt:lpstr>
      <vt:lpstr>Персонал</vt:lpstr>
      <vt:lpstr>Ресурсы</vt:lpstr>
      <vt:lpstr>ОбщПрРасходы</vt:lpstr>
      <vt:lpstr>АдмРасходы</vt:lpstr>
      <vt:lpstr>ПрочДоходы</vt:lpstr>
      <vt:lpstr>ПрочРасходы</vt:lpstr>
      <vt:lpstr>НДС</vt:lpstr>
      <vt:lpstr>НалПрибыль</vt:lpstr>
      <vt:lpstr>НалЗемля</vt:lpstr>
      <vt:lpstr>НалИмущество</vt:lpstr>
      <vt:lpstr>УСН</vt:lpstr>
      <vt:lpstr>КПЭбезЛьгот</vt:lpstr>
      <vt:lpstr>БДРбезЛьгот</vt:lpstr>
      <vt:lpstr>БДДСбезЛьгот</vt:lpstr>
      <vt:lpstr>БалансбезЛьгот</vt:lpstr>
      <vt:lpstr>Контроль</vt:lpstr>
      <vt:lpstr>Легенда</vt:lpstr>
      <vt:lpstr>Шаблон</vt:lpstr>
      <vt:lpstr>Структура</vt:lpstr>
      <vt:lpstr>Описание</vt:lpstr>
      <vt:lpstr>Дашборд_2</vt:lpstr>
      <vt:lpstr>БДРбезЛьгот!Валовая_прибыль</vt:lpstr>
      <vt:lpstr>Валовая_прибыль</vt:lpstr>
      <vt:lpstr>АдмРасходы!Заголовки_для_печати</vt:lpstr>
      <vt:lpstr>Баланс!Заголовки_для_печати</vt:lpstr>
      <vt:lpstr>БалансбезЛьгот!Заголовки_для_печати</vt:lpstr>
      <vt:lpstr>БДДС!Заголовки_для_печати</vt:lpstr>
      <vt:lpstr>БДДСбезЛьгот!Заголовки_для_печати</vt:lpstr>
      <vt:lpstr>БДР!Заголовки_для_печати</vt:lpstr>
      <vt:lpstr>БДРбезЛьгот!Заголовки_для_печати</vt:lpstr>
      <vt:lpstr>Выручка!Заголовки_для_печати</vt:lpstr>
      <vt:lpstr>Инвестиции!Заголовки_для_печати</vt:lpstr>
      <vt:lpstr>Исходные!Заголовки_для_печати</vt:lpstr>
      <vt:lpstr>Контроль!Заголовки_для_печати</vt:lpstr>
      <vt:lpstr>КПЭ!Заголовки_для_печати</vt:lpstr>
      <vt:lpstr>КПЭбезЛьгот!Заголовки_для_печати</vt:lpstr>
      <vt:lpstr>Макро!Заголовки_для_печати</vt:lpstr>
      <vt:lpstr>НалЗемля!Заголовки_для_печати</vt:lpstr>
      <vt:lpstr>НалИмущество!Заголовки_для_печати</vt:lpstr>
      <vt:lpstr>НалогСвод!Заголовки_для_печати</vt:lpstr>
      <vt:lpstr>НалПрибыль!Заголовки_для_печати</vt:lpstr>
      <vt:lpstr>НДС!Заголовки_для_печати</vt:lpstr>
      <vt:lpstr>ОбщПрРасходы!Заголовки_для_печати</vt:lpstr>
      <vt:lpstr>Оглавление!Заголовки_для_печати</vt:lpstr>
      <vt:lpstr>Описание!Заголовки_для_печати</vt:lpstr>
      <vt:lpstr>Персонал!Заголовки_для_печати</vt:lpstr>
      <vt:lpstr>ПрочДоходы!Заголовки_для_печати</vt:lpstr>
      <vt:lpstr>ПрочРасходы!Заголовки_для_печати</vt:lpstr>
      <vt:lpstr>Ресурсы!Заголовки_для_печати</vt:lpstr>
      <vt:lpstr>Себестоимость!Заголовки_для_печати</vt:lpstr>
      <vt:lpstr>УСН!Заголовки_для_печати</vt:lpstr>
      <vt:lpstr>Финансы!Заголовки_для_печати</vt:lpstr>
      <vt:lpstr>Чувствительность!Заголовки_для_печати</vt:lpstr>
      <vt:lpstr>Шаблон!Заголовки_для_печати</vt:lpstr>
      <vt:lpstr>НалПрибыль</vt:lpstr>
      <vt:lpstr>АдмРасходы!Область_печати</vt:lpstr>
      <vt:lpstr>Баланс!Область_печати</vt:lpstr>
      <vt:lpstr>БДДС!Область_печати</vt:lpstr>
      <vt:lpstr>БДР!Область_печати</vt:lpstr>
      <vt:lpstr>Выручка!Область_печати</vt:lpstr>
      <vt:lpstr>Дашборд_налоги!Область_печати</vt:lpstr>
      <vt:lpstr>Инвестиции!Область_печати</vt:lpstr>
      <vt:lpstr>ИтогТаблицы!Область_печати</vt:lpstr>
      <vt:lpstr>КПЭ!Область_печати</vt:lpstr>
      <vt:lpstr>КПЭбезЛьгот!Область_печати</vt:lpstr>
      <vt:lpstr>НалЗемля!Область_печати</vt:lpstr>
      <vt:lpstr>НалИмущество!Область_печати</vt:lpstr>
      <vt:lpstr>НалогСвод!Область_печати</vt:lpstr>
      <vt:lpstr>НалПрибыль!Область_печати</vt:lpstr>
      <vt:lpstr>НДС!Область_печати</vt:lpstr>
      <vt:lpstr>ОбщПрРасходы!Область_печати</vt:lpstr>
      <vt:lpstr>Оглавление!Область_печати</vt:lpstr>
      <vt:lpstr>Описание!Область_печати</vt:lpstr>
      <vt:lpstr>Персонал!Область_печати</vt:lpstr>
      <vt:lpstr>ПрочДоходы!Область_печати</vt:lpstr>
      <vt:lpstr>ПрочРасходы!Область_печати</vt:lpstr>
      <vt:lpstr>Ресурсы!Область_печати</vt:lpstr>
      <vt:lpstr>Себестоимость!Область_печати</vt:lpstr>
      <vt:lpstr>УСН!Область_печати</vt:lpstr>
      <vt:lpstr>Финансы!Область_печати</vt:lpstr>
      <vt:lpstr>Чувствительность!Область_печати</vt:lpstr>
      <vt:lpstr>Шаблон!Область_печати</vt:lpstr>
      <vt:lpstr>БДРбезЛьгот!Прибыль_до_налогообл</vt:lpstr>
      <vt:lpstr>Прибыль_до_налогообл</vt:lpstr>
      <vt:lpstr>БДРбезЛьгот!Прибыль_от_продаж</vt:lpstr>
      <vt:lpstr>Прибыль_от_продаж</vt:lpstr>
      <vt:lpstr>БДР!Продажи</vt:lpstr>
      <vt:lpstr>БДРбезЛьгот!Продажи</vt:lpstr>
      <vt:lpstr>БДР!Себестоимость</vt:lpstr>
      <vt:lpstr>БДРбезЛьгот!Себестоимость</vt:lpstr>
      <vt:lpstr>СоцНалог</vt:lpstr>
      <vt:lpstr>СтавкаНДФЛ</vt:lpstr>
      <vt:lpstr>БДРбезЛьгот!Чистая_прибыль</vt:lpstr>
      <vt:lpstr>Чистая_прибыль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ФЭМ шаблон</dc:title>
  <dc:creator>Oleg Smolenishev</dc:creator>
  <cp:keywords>ФЭМ;шаблон;заказчик RDC</cp:keywords>
  <cp:lastModifiedBy>Свистухина Майя Александровна</cp:lastModifiedBy>
  <cp:lastPrinted>2024-05-27T18:29:38Z</cp:lastPrinted>
  <dcterms:created xsi:type="dcterms:W3CDTF">2024-02-17T08:22:04Z</dcterms:created>
  <dcterms:modified xsi:type="dcterms:W3CDTF">2024-05-28T13:28:29Z</dcterms:modified>
</cp:coreProperties>
</file>